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Смета в текущих ценах(14гр" sheetId="1" r:id="rId1"/>
    <sheet name="RV_DATA" sheetId="2" state="hidden" r:id="rId2"/>
    <sheet name="Расчет стоимости ресурсов" sheetId="3" r:id="rId3"/>
    <sheet name="Дефектная ведомость" sheetId="4" r:id="rId4"/>
    <sheet name="Расчет стоимости ресурсов_1" sheetId="5" r:id="rId5"/>
    <sheet name="Source" sheetId="6" r:id="rId6"/>
    <sheet name="SourceObSm" sheetId="7" r:id="rId7"/>
    <sheet name="SmtRes" sheetId="8" r:id="rId8"/>
    <sheet name="EtalonRes" sheetId="9" r:id="rId9"/>
  </sheets>
  <externalReferences>
    <externalReference r:id="rId12"/>
  </externalReferences>
  <definedNames>
    <definedName name="_xlfn.COUNTIFS" hidden="1">#NAME?</definedName>
    <definedName name="_xlnm.Print_Titles" localSheetId="3">'Дефектная ведомость'!$18:$18</definedName>
    <definedName name="_xlnm.Print_Titles" localSheetId="2">'Расчет стоимости ресурсов'!$4:$7</definedName>
    <definedName name="_xlnm.Print_Titles" localSheetId="4">'Расчет стоимости ресурсов_1'!$4:$7</definedName>
    <definedName name="_xlnm.Print_Titles" localSheetId="0">'Смета в текущих ценах(14гр'!$17:$17</definedName>
    <definedName name="_xlnm.Print_Area" localSheetId="3">'Дефектная ведомость'!$A$1:$E$47</definedName>
    <definedName name="_xlnm.Print_Area" localSheetId="2">'Расчет стоимости ресурсов'!$A$1:$F$76</definedName>
    <definedName name="_xlnm.Print_Area" localSheetId="4">'Расчет стоимости ресурсов_1'!$A$1:$F$76</definedName>
    <definedName name="_xlnm.Print_Area" localSheetId="0">'Смета в текущих ценах(14гр'!$A$1:$N$274</definedName>
  </definedNames>
  <calcPr fullCalcOnLoad="1"/>
</workbook>
</file>

<file path=xl/sharedStrings.xml><?xml version="1.0" encoding="utf-8"?>
<sst xmlns="http://schemas.openxmlformats.org/spreadsheetml/2006/main" count="4285" uniqueCount="669">
  <si>
    <t>Smeta.RU  (495) 974-1589</t>
  </si>
  <si>
    <t>_PS_</t>
  </si>
  <si>
    <t>Smeta.RU</t>
  </si>
  <si>
    <t/>
  </si>
  <si>
    <t>Новый объект</t>
  </si>
  <si>
    <t>помещение 1113 кровля вариант2</t>
  </si>
  <si>
    <t>Сметные нормы списания</t>
  </si>
  <si>
    <t>Коды ценников</t>
  </si>
  <si>
    <t>Версия 7.0.0.14 от 02.08.2012: для ФЕР, с п.3757-КК/08, п.6056-ИП/08,п.10753-ВТ/08 и п.15127-ИП/08 (Кап. ремонт жилых / общ. зд.): Центральные регионы: Текущие цены</t>
  </si>
  <si>
    <t>ГЭСН-2001</t>
  </si>
  <si>
    <t>Поправки  для НБ 2001 года  в ред. 2009 года от 29.03.2011</t>
  </si>
  <si>
    <t>Ремонт кровли фонаря в осях (3-12)(Д-Е); (И-К)</t>
  </si>
  <si>
    <t>1</t>
  </si>
  <si>
    <t>46-04-008-4</t>
  </si>
  <si>
    <t>Разборка покрытий кровель из волнистых и полуволнистых асбестоцементных листов</t>
  </si>
  <si>
    <t>100 м2 покрытия</t>
  </si>
  <si>
    <t>ФЕР 46-04-008-4 пр.№31/пр от 30.01.2014 г.</t>
  </si>
  <si>
    <t>=110</t>
  </si>
  <si>
    <t>=70</t>
  </si>
  <si>
    <t>Общестроительные работы</t>
  </si>
  <si>
    <t>Реконструкция зданий и сооружений</t>
  </si>
  <si>
    <t>ФЕР-46</t>
  </si>
  <si>
    <t>*0,85</t>
  </si>
  <si>
    <t>2</t>
  </si>
  <si>
    <t>10-01-010-1</t>
  </si>
  <si>
    <t>Разборка каркаса из досок</t>
  </si>
  <si>
    <t>1 м3 древесины в конструкции</t>
  </si>
  <si>
    <t>ФЕР 10-01-010-1 пр.№31/пр от 30.01.2014 г.</t>
  </si>
  <si>
    <t>*0,8</t>
  </si>
  <si>
    <t>=118</t>
  </si>
  <si>
    <t>=63</t>
  </si>
  <si>
    <t>Деревянные конструкции</t>
  </si>
  <si>
    <t>ФЕР-10</t>
  </si>
  <si>
    <t>*0,9</t>
  </si>
  <si>
    <t>3</t>
  </si>
  <si>
    <t>09-04-002-1</t>
  </si>
  <si>
    <t>Монтаж кровельного покрытия из профилированного листа при высоте здания до 25 м</t>
  </si>
  <si>
    <t>ФЕР 09-04-002-1 пр.№31/пр от 30.01.2014 г.</t>
  </si>
  <si>
    <t>*1,25</t>
  </si>
  <si>
    <t>*1,15</t>
  </si>
  <si>
    <t>=81</t>
  </si>
  <si>
    <t>=72,25</t>
  </si>
  <si>
    <t>Металло-конструкции</t>
  </si>
  <si>
    <t>ФЕР-09</t>
  </si>
  <si>
    <t>4</t>
  </si>
  <si>
    <t>09-05-006-1</t>
  </si>
  <si>
    <t>Резка стального профилированного настила</t>
  </si>
  <si>
    <t>1 м реза</t>
  </si>
  <si>
    <t>ФЕР 09-05-006-1 пр.№31/пр от 30.01.2014 г.</t>
  </si>
  <si>
    <t>5</t>
  </si>
  <si>
    <t>12-01-015-1</t>
  </si>
  <si>
    <t>Устройство пароизоляции оклеечной в один слой</t>
  </si>
  <si>
    <t>100 м2 изолируемой поверхности</t>
  </si>
  <si>
    <t>ФЕР 12-01-015-1 пр.№31/пр от 30.01.2014 г.</t>
  </si>
  <si>
    <t>=108</t>
  </si>
  <si>
    <t>=55,25</t>
  </si>
  <si>
    <t>Кровли</t>
  </si>
  <si>
    <t>ФЕР-12</t>
  </si>
  <si>
    <t>6</t>
  </si>
  <si>
    <t>12-01-013-3</t>
  </si>
  <si>
    <t>Утепление покрытий плитами из минеральной ваты или перлита на битумной мастике в один слой</t>
  </si>
  <si>
    <t>100 м2 утепляемого покрытия</t>
  </si>
  <si>
    <t>ФЕР 12-01-013-3 пр.№31/пр от 30.01.2014 г.</t>
  </si>
  <si>
    <t>7</t>
  </si>
  <si>
    <t>12-01-013-4</t>
  </si>
  <si>
    <t>Утепление покрытий плитами на каждый последующий слой добавлять к расценке 12-01-013-03</t>
  </si>
  <si>
    <t>ФЕР 12-01-013-4 пр.№31/пр от 30.01.2014 г.</t>
  </si>
  <si>
    <t>*2</t>
  </si>
  <si>
    <t>*2*1,25</t>
  </si>
  <si>
    <t>*2*1,15</t>
  </si>
  <si>
    <t>9</t>
  </si>
  <si>
    <t>09-03-014-3</t>
  </si>
  <si>
    <t>Устройство металлического каркаса из уголка под фонарный свес</t>
  </si>
  <si>
    <t>1 т конструкций</t>
  </si>
  <si>
    <t>ФЕР 09-03-014-3 пр.№31/пр от 30.01.2014 г.</t>
  </si>
  <si>
    <t>10</t>
  </si>
  <si>
    <t>10-01-008-5</t>
  </si>
  <si>
    <t>Устройство фонарного свеса</t>
  </si>
  <si>
    <t>100 м2 стен, фронтонов (за вычетом проемов) и развернутых поверхностей карнизов</t>
  </si>
  <si>
    <t>ТЕР Респ. Марий Эл И2, 10-01-008-5 пр. №467 от 17.05.2012 г.</t>
  </si>
  <si>
    <t>=106,2</t>
  </si>
  <si>
    <t>=53,55</t>
  </si>
  <si>
    <t>11</t>
  </si>
  <si>
    <t>12-01-021-1</t>
  </si>
  <si>
    <t>Устройство однослойной кровли и примыканий  из полимерного рулонного материала.</t>
  </si>
  <si>
    <t>100 м2 кровли</t>
  </si>
  <si>
    <t>ТЕР Респ. Марий Эл И2, 12-01-021-1 пр. №467 от 17.05.2012 г.</t>
  </si>
  <si>
    <t>12</t>
  </si>
  <si>
    <t>58-19-3</t>
  </si>
  <si>
    <t>Смена мелких покрытий из листовой стали в кровлях из рулонных и штучных материалов карнизных свесов</t>
  </si>
  <si>
    <t>100 м покрытия</t>
  </si>
  <si>
    <t>ТЕРр Респ. Марий Эл И2, 58-19-3 пр. №467 от 17.05.2012 г.</t>
  </si>
  <si>
    <t>=83</t>
  </si>
  <si>
    <t>=65</t>
  </si>
  <si>
    <t>Ремонтно-строительные работы</t>
  </si>
  <si>
    <t>Крыши, кровля</t>
  </si>
  <si>
    <t>ФЕРр-58</t>
  </si>
  <si>
    <t>13</t>
  </si>
  <si>
    <t>ФСЦП 310-3021-1</t>
  </si>
  <si>
    <t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t>
  </si>
  <si>
    <t>т</t>
  </si>
  <si>
    <t>ТЕРт Марий Эл (ред. 2009г.) сб.310, табл.2020-1</t>
  </si>
  <si>
    <t>Перевозка, тара и упаковка</t>
  </si>
  <si>
    <t>Перевозка грузов автомобильным транспортом</t>
  </si>
  <si>
    <t>авто</t>
  </si>
  <si>
    <t>14</t>
  </si>
  <si>
    <t>311-01-148-1</t>
  </si>
  <si>
    <t>Погрузка: Мусор   строительный   с   погрузкой   экскаваторами емкостью ковша до 0,5мЗ</t>
  </si>
  <si>
    <t>ФССЦ ч.1, сб.311,гл.01,табл.148-1</t>
  </si>
  <si>
    <t>=85</t>
  </si>
  <si>
    <t>=48</t>
  </si>
  <si>
    <t>Погрузочно-разгрузочные работы</t>
  </si>
  <si>
    <t>ФССЦ а/п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</si>
  <si>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</si>
  <si>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</si>
  <si>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</si>
  <si>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</si>
  <si>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</si>
  <si>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</si>
  <si>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</si>
  <si>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</si>
  <si>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</si>
  <si>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</si>
  <si>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</si>
  <si>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</si>
  <si>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</si>
  <si>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</si>
  <si>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</si>
  <si>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</si>
  <si>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</si>
  <si>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</si>
  <si>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</si>
  <si>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</si>
  <si>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</si>
  <si>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</si>
  <si>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</si>
  <si>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</si>
  <si>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</si>
  <si>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</si>
  <si>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</si>
  <si>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</si>
  <si>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</si>
  <si>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</si>
  <si>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</si>
  <si>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</si>
  <si>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</si>
  <si>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</si>
  <si>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</si>
  <si>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</si>
  <si>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</si>
  <si>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</si>
  <si>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</si>
  <si>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</si>
  <si>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</si>
  <si>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</si>
  <si>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</si>
  <si>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</si>
  <si>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</si>
  <si>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</si>
  <si>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</t>
  </si>
  <si>
    <t>Итого</t>
  </si>
  <si>
    <t>ит 1</t>
  </si>
  <si>
    <t>Итого с к-1,15</t>
  </si>
  <si>
    <t>маш</t>
  </si>
  <si>
    <t>в т.ч. Эксплуатация  машин с к-1,15</t>
  </si>
  <si>
    <t>фот</t>
  </si>
  <si>
    <t>в т.ч. ФОТ с к-1,15</t>
  </si>
  <si>
    <t>нар</t>
  </si>
  <si>
    <t>в т.ч. Накладные расходы с к-1,15</t>
  </si>
  <si>
    <t>смп</t>
  </si>
  <si>
    <t>в т.ч. Сметная прибыль с к-1,15</t>
  </si>
  <si>
    <t>тра</t>
  </si>
  <si>
    <t>Автотранспорт 7%</t>
  </si>
  <si>
    <t>итого</t>
  </si>
  <si>
    <t>Итого по разделу</t>
  </si>
  <si>
    <t>ндс</t>
  </si>
  <si>
    <t>НДС 18%</t>
  </si>
  <si>
    <t>все</t>
  </si>
  <si>
    <t>Всего по разделу</t>
  </si>
  <si>
    <t>Ремонт кровли корпуса №20 в осях (1-9) (Г-Ж)</t>
  </si>
  <si>
    <t>Ремонт кровли корпуса №20 в осях  (1-9) (Г-Ж)</t>
  </si>
  <si>
    <t>46-04-008-01</t>
  </si>
  <si>
    <t>Разборка покрытий примыканий кровель из рулонных материалов</t>
  </si>
  <si>
    <t>ФЕР 46-04-008-1 пр.№31/пр от 30.01.2014 г.</t>
  </si>
  <si>
    <t>10-01-008-05</t>
  </si>
  <si>
    <t>Устройство каркаса примыканий парапета</t>
  </si>
  <si>
    <t>16-07-002-01</t>
  </si>
  <si>
    <t>Демонтаж воронок водосточных</t>
  </si>
  <si>
    <t>1 воронка</t>
  </si>
  <si>
    <t>ТЕР Респ. Марий Эл И2, 16-07-002-1 пр. №467 от 17.05.2012 г.</t>
  </si>
  <si>
    <t>=128</t>
  </si>
  <si>
    <t>Трубопроводы внутренние</t>
  </si>
  <si>
    <t>ФЕР-16</t>
  </si>
  <si>
    <t>Установка воронок водосточных</t>
  </si>
  <si>
    <t>=115,2</t>
  </si>
  <si>
    <t>=70,55</t>
  </si>
  <si>
    <t>53-16-1</t>
  </si>
  <si>
    <t>Ремонт кирпичной кладки стен отдельными местами</t>
  </si>
  <si>
    <t>1 м3 кладки</t>
  </si>
  <si>
    <t>ФЕРр 53-16-1 пр.№31/пр от 30.01.2014 г.</t>
  </si>
  <si>
    <t>=86</t>
  </si>
  <si>
    <t>Стены</t>
  </si>
  <si>
    <t>ФЕРр-53</t>
  </si>
  <si>
    <t>8</t>
  </si>
  <si>
    <t>Мат</t>
  </si>
  <si>
    <t>Стоимость материальных ресурсов</t>
  </si>
  <si>
    <t>Итого по смете</t>
  </si>
  <si>
    <t>ит</t>
  </si>
  <si>
    <t>Всего по смете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</si>
  <si>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</si>
  <si>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</si>
  <si>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</si>
  <si>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</si>
  <si>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</si>
  <si>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</si>
  <si>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</si>
  <si>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</si>
  <si>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</si>
  <si>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</si>
  <si>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</si>
  <si>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</si>
  <si>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</si>
  <si>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</si>
  <si>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</si>
  <si>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</si>
  <si>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</si>
  <si>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</si>
  <si>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</si>
  <si>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</si>
  <si>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</si>
  <si>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</si>
  <si>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</si>
  <si>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</si>
  <si>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</si>
  <si>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</si>
  <si>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</si>
  <si>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</si>
  <si>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</si>
  <si>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</si>
  <si>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</si>
  <si>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</si>
  <si>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</si>
  <si>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</si>
  <si>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</si>
  <si>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</si>
  <si>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</si>
  <si>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</si>
  <si>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</si>
  <si>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</si>
  <si>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</si>
  <si>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</si>
  <si>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</si>
  <si>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</si>
  <si>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</si>
  <si>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Уровень цен</t>
  </si>
  <si>
    <t>_OBSM_</t>
  </si>
  <si>
    <t>1-1020</t>
  </si>
  <si>
    <t>Рабочий строитель среднего разряда 2</t>
  </si>
  <si>
    <t>чел.-ч</t>
  </si>
  <si>
    <t>030403</t>
  </si>
  <si>
    <t>ФСЭМ 030403 пр.№31/пр от 30.01.2014 г.</t>
  </si>
  <si>
    <t>Лебедки электрические тяговым усилием 19,62 кН (2 т)</t>
  </si>
  <si>
    <t>маш.-ч</t>
  </si>
  <si>
    <t>1-1028</t>
  </si>
  <si>
    <t>Рабочий строитель среднего разряда 2,8</t>
  </si>
  <si>
    <t>330206</t>
  </si>
  <si>
    <t>ФСЭМ 330206 пр.№31/пр от 30.01.2014 г.</t>
  </si>
  <si>
    <t>Дрели электрические</t>
  </si>
  <si>
    <t>331601</t>
  </si>
  <si>
    <t>ФСЭМ 331601 пр.№31/пр от 30.01.2014 г.</t>
  </si>
  <si>
    <t>Пила с карбюраторным двигателем</t>
  </si>
  <si>
    <t>400001</t>
  </si>
  <si>
    <t>ФСЭМ 400001 пр.№31/пр от 30.01.2014 г.</t>
  </si>
  <si>
    <t>Автомобили бортовые, грузоподъемность до 5 т</t>
  </si>
  <si>
    <t>1-1032</t>
  </si>
  <si>
    <t>Рабочий строитель среднего разряда 3,2</t>
  </si>
  <si>
    <t>Затраты труда машинистов</t>
  </si>
  <si>
    <t>чел.час</t>
  </si>
  <si>
    <t>020403</t>
  </si>
  <si>
    <t>ФСЭМ 020403 пр.№31/пр от 30.01.2014 г.</t>
  </si>
  <si>
    <t>Краны козловые при работе на монтаже технологического оборудования 32 т</t>
  </si>
  <si>
    <t>021141</t>
  </si>
  <si>
    <t>ФСЭМ 021141 пр.№31/пр от 30.01.2014 г.</t>
  </si>
  <si>
    <t>Краны на автомобильном ходу при работе на других видах строительства 10 т</t>
  </si>
  <si>
    <t>021245</t>
  </si>
  <si>
    <t>ФСЭМ 021245 пр.№31/пр от 30.01.2014 г.</t>
  </si>
  <si>
    <t>Краны на гусеничном ходу при работе на других видах строительства 40 т</t>
  </si>
  <si>
    <t>030203</t>
  </si>
  <si>
    <t>ФСЭМ 030203 пр.№31/пр от 30.01.2014 г.</t>
  </si>
  <si>
    <t>Домкраты гидравлические грузоподъемностью 63-100 т</t>
  </si>
  <si>
    <t>040504</t>
  </si>
  <si>
    <t>ФСЭМ 040504 пр.№31/пр от 30.01.2014 г.</t>
  </si>
  <si>
    <t>Аппарат для газовой сварки и резки</t>
  </si>
  <si>
    <t>041000</t>
  </si>
  <si>
    <t>ФСЭМ 041000 пр.№31/пр от 30.01.2014 г.</t>
  </si>
  <si>
    <t>Преобразователи сварочные с номинальным сварочным током 315-500 А</t>
  </si>
  <si>
    <t>041400</t>
  </si>
  <si>
    <t>ФСЭМ 041400 пр.№31/пр от 30.01.2014 г.</t>
  </si>
  <si>
    <t>Электрические печи для сушки сварочных материалов с регулированием температуры в пределах от 80 °С до 500 °С</t>
  </si>
  <si>
    <t>101-0324</t>
  </si>
  <si>
    <t>ФССЦ 101-0324 пр.№31/пр от 30.01.2014 г.</t>
  </si>
  <si>
    <t>Кислород технический газообразный</t>
  </si>
  <si>
    <t>м3</t>
  </si>
  <si>
    <t>101-0797</t>
  </si>
  <si>
    <t>ФССЦ 101-0797 пр.№31/пр от 30.01.2014 г.</t>
  </si>
  <si>
    <t>Проволока горячекатаная в мотках, диаметром 6,3-6,5 мм</t>
  </si>
  <si>
    <t>101-1513</t>
  </si>
  <si>
    <t>ФССЦ 101-1513 пр.№31/пр от 30.01.2014 г.</t>
  </si>
  <si>
    <t>Электроды диаметром 4 мм Э42</t>
  </si>
  <si>
    <t>101-1714</t>
  </si>
  <si>
    <t>ФССЦ 101-1714 пр.№31/пр от 30.01.2014 г.</t>
  </si>
  <si>
    <t>Болты с гайками и шайбами строительные</t>
  </si>
  <si>
    <t>101-2278</t>
  </si>
  <si>
    <t>ФССЦ 101-2278 пр.№31/пр от 30.01.2014 г.</t>
  </si>
  <si>
    <t>Пропан-бутан, смесь техническая</t>
  </si>
  <si>
    <t>кг</t>
  </si>
  <si>
    <t>101-2467</t>
  </si>
  <si>
    <t>ФССЦ 101-2467 пр.№31/пр от 30.01.2014 г.</t>
  </si>
  <si>
    <t>Растворитель марки Р-4</t>
  </si>
  <si>
    <t>101-9910</t>
  </si>
  <si>
    <t>ФССЦ 101-9910 пр.№31/пр от 30.01.2014 г.</t>
  </si>
  <si>
    <t>Стальной гнутый профиль (профилированный настил)</t>
  </si>
  <si>
    <t>м2</t>
  </si>
  <si>
    <t>102-0023</t>
  </si>
  <si>
    <t>ФССЦ 102-0023 пр.№31/пр от 30.01.2014 г.</t>
  </si>
  <si>
    <t>Бруски обрезные хвойных пород длиной 4-6,5 м, шириной 75-150 мм, толщиной 40-75 мм, I сорта</t>
  </si>
  <si>
    <t>113-0021</t>
  </si>
  <si>
    <t>ФССЦ 113-0021 пр.№31/пр от 30.01.2014 г.</t>
  </si>
  <si>
    <t>Грунтовка ГФ-021 красно-коричневая</t>
  </si>
  <si>
    <t>1-1034</t>
  </si>
  <si>
    <t>Рабочий строитель среднего разряда 3,4</t>
  </si>
  <si>
    <t>330302</t>
  </si>
  <si>
    <t>ФСЭМ 330302 пр.№31/пр от 30.01.2014 г.</t>
  </si>
  <si>
    <t>Машины шлифовальные угловые</t>
  </si>
  <si>
    <t>1-1038</t>
  </si>
  <si>
    <t>Рабочий строитель среднего разряда 3,8</t>
  </si>
  <si>
    <t>020129</t>
  </si>
  <si>
    <t>ФСЭМ 020129 пр.№31/пр от 30.01.2014 г.</t>
  </si>
  <si>
    <t>Краны башенные при работе на других видах строительства 8 т</t>
  </si>
  <si>
    <t>121011</t>
  </si>
  <si>
    <t>ФСЭМ 121011 пр.№31/пр от 30.01.2014 г.</t>
  </si>
  <si>
    <t>Котлы битумные передвижные 400 л</t>
  </si>
  <si>
    <t>101-0594</t>
  </si>
  <si>
    <t>ФССЦ 101-0594 пр.№31/пр от 30.01.2014 г.</t>
  </si>
  <si>
    <t>Мастика</t>
  </si>
  <si>
    <t>101-0856</t>
  </si>
  <si>
    <t>ФССЦ 101-0856 пр.№31/пр от 30.01.2014 г.</t>
  </si>
  <si>
    <t>Пленка полиэтиленовая</t>
  </si>
  <si>
    <t>1-1039</t>
  </si>
  <si>
    <t>Рабочий строитель среднего разряда 3,9</t>
  </si>
  <si>
    <t>Кровельный крепёж</t>
  </si>
  <si>
    <t>ШТ</t>
  </si>
  <si>
    <t>Дюбель</t>
  </si>
  <si>
    <t>Саморез</t>
  </si>
  <si>
    <t>104-0004</t>
  </si>
  <si>
    <t>ФССЦ 104-0004 пр.№31/пр от 30.01.2014 г.</t>
  </si>
  <si>
    <t>Минплита Изоруф Н 60 мм</t>
  </si>
  <si>
    <t>Минплита Изоруф В 40 мм</t>
  </si>
  <si>
    <t>101-1805</t>
  </si>
  <si>
    <t>ФССЦ 101-1805 пр.№31/пр от 30.01.2014 г.</t>
  </si>
  <si>
    <t>Гвозди строительные</t>
  </si>
  <si>
    <t>201-9002</t>
  </si>
  <si>
    <t>ФССЦ 201-9002 пр.№31/пр от 30.01.2014 г.</t>
  </si>
  <si>
    <t>Уголок 32*32*4</t>
  </si>
  <si>
    <t>1-1030-12</t>
  </si>
  <si>
    <t>Рабочий строитель среднего разряда 3</t>
  </si>
  <si>
    <t>331531</t>
  </si>
  <si>
    <t>ТСЭМ Респ. Марий Эл И2, 331531 пр. №467 от 17.05.2012 г.</t>
  </si>
  <si>
    <t>Пила дисковая электрическая</t>
  </si>
  <si>
    <t>маш.-ч.</t>
  </si>
  <si>
    <t>ТССЦ Респ. Марий Эл И2, 101-1805 пр. №467 от 17.05.2012 г.</t>
  </si>
  <si>
    <t>102-0048</t>
  </si>
  <si>
    <t>ТССЦ Респ. Марий Эл И2, 102-0048 пр. №467 от 17.05.2012 г.</t>
  </si>
  <si>
    <t>Брус 50*50</t>
  </si>
  <si>
    <t>102-0060</t>
  </si>
  <si>
    <t>ТССЦ Респ. Марий Эл И2, 102-0060 пр. №467 от 17.05.2012 г.</t>
  </si>
  <si>
    <t>Плита ОSВ</t>
  </si>
  <si>
    <t>203-0367</t>
  </si>
  <si>
    <t>ТССЦ Респ. Марий Эл И2, 203-0367 пр. №467 от 17.05.2012 г.</t>
  </si>
  <si>
    <t>Анкерный болт</t>
  </si>
  <si>
    <t>шт.</t>
  </si>
  <si>
    <t>1-1034-12</t>
  </si>
  <si>
    <t>ТСЭМ Респ. Марий Эл И2, 020129 пр. №467 от 17.05.2012 г.</t>
  </si>
  <si>
    <t>Краны на автомобильном ходу при работе на других видах строительства</t>
  </si>
  <si>
    <t>150401</t>
  </si>
  <si>
    <t>Горелки газопламенные</t>
  </si>
  <si>
    <t>ТСЭМ Респ. Марий Эл И2, 330206 пр. №467 от 17.05.2012 г.</t>
  </si>
  <si>
    <t>331002</t>
  </si>
  <si>
    <t>ТСЭМ Респ. Марий Эл И2, 331002 пр. №467 от 17.05.2012 г.</t>
  </si>
  <si>
    <t>Станок сверлильный</t>
  </si>
  <si>
    <t>331451</t>
  </si>
  <si>
    <t>ТСЭМ Респ. Марий Эл И2, 331451 пр. №467 от 17.05.2012 г.</t>
  </si>
  <si>
    <t>Перфораторы электрические</t>
  </si>
  <si>
    <t>360202</t>
  </si>
  <si>
    <t>Станки длягнутья ручные</t>
  </si>
  <si>
    <t>Мембрана ЭПДМ</t>
  </si>
  <si>
    <t>ЭПДМ формфлэш</t>
  </si>
  <si>
    <t>м</t>
  </si>
  <si>
    <t>Полоса из невулканизированной резины</t>
  </si>
  <si>
    <t>Рейка металлическая</t>
  </si>
  <si>
    <t>Дюбель гвоздь потай 8*160</t>
  </si>
  <si>
    <t>Очиститель</t>
  </si>
  <si>
    <t>л</t>
  </si>
  <si>
    <t>Праймер</t>
  </si>
  <si>
    <t>Монтажный клей</t>
  </si>
  <si>
    <t>Краевая полоса</t>
  </si>
  <si>
    <t>Шуруп кровельный 4,8*29</t>
  </si>
  <si>
    <t>Краевой герметик</t>
  </si>
  <si>
    <t>Ветошь</t>
  </si>
  <si>
    <t>1-1025-12</t>
  </si>
  <si>
    <t>Рабочий строитель среднего разряда 2,5</t>
  </si>
  <si>
    <t>030954</t>
  </si>
  <si>
    <t>ТСЭМ Респ. Марий Эл И2, 030954 пр. №467 от 17.05.2012 г.</t>
  </si>
  <si>
    <t>Подъемники грузоподъемностью до 500 кг одномачтовые, высота подъема 45 м</t>
  </si>
  <si>
    <t>101-0782</t>
  </si>
  <si>
    <t>ТССЦ Респ. Марий Эл И2, 101-0782 пр. №467 от 17.05.2012 г.</t>
  </si>
  <si>
    <t>Анкер-клин</t>
  </si>
  <si>
    <t>101-1875</t>
  </si>
  <si>
    <t>ТССЦ Респ. Марий Эл И2, 101-1875 пр. №467 от 17.05.2012 г.</t>
  </si>
  <si>
    <t>Сталь листовая оцинкованная</t>
  </si>
  <si>
    <t>509-9900</t>
  </si>
  <si>
    <t>ТССЦ Респ. Марий Эл И2, 509-9900 пр. №467 от 17.05.2012 г.</t>
  </si>
  <si>
    <t>Строительный мусор</t>
  </si>
  <si>
    <t>автомобиль-самосвал-10 т</t>
  </si>
  <si>
    <t>060248</t>
  </si>
  <si>
    <t>ЦЭМ  сб.06,поз.0248</t>
  </si>
  <si>
    <t>Экскаваторы одноковшовые дизельные на гусеничном ходу при работе на других видах строительства 0,65 м3</t>
  </si>
  <si>
    <t>маш.ч</t>
  </si>
  <si>
    <t>МАШ.Ч</t>
  </si>
  <si>
    <t>1-1041-12</t>
  </si>
  <si>
    <t>Рабочий строитель среднего разряда 4,1</t>
  </si>
  <si>
    <t>301-3302</t>
  </si>
  <si>
    <t>ТССЦ Респ. Марий Эл И2, 301-3302 пр. №467 от 17.05.2012 г.</t>
  </si>
  <si>
    <t>Воронка водосточная</t>
  </si>
  <si>
    <t>1-1023</t>
  </si>
  <si>
    <t>Рабочий строитель среднего разряда 2,3</t>
  </si>
  <si>
    <t>ФСЭМ 030954 пр.№31/пр от 30.01.2014 г.</t>
  </si>
  <si>
    <t>402-0013</t>
  </si>
  <si>
    <t>ФССЦ 402-0013 пр.№31/пр от 30.01.2014 г.</t>
  </si>
  <si>
    <t>Раствор готовый кладочный цементно-известковый марки 50</t>
  </si>
  <si>
    <t>404-0005</t>
  </si>
  <si>
    <t>ФССЦ 404-0005 пр.№31/пр от 30.01.2014 г.</t>
  </si>
  <si>
    <t>Кирпич керамический одинарный, размером 250х120х65 мм, марка 100</t>
  </si>
  <si>
    <t>1000 шт.</t>
  </si>
  <si>
    <t>101-0783</t>
  </si>
  <si>
    <t>ФССЦ 101-0783 пр.№31/пр от 30.01.2014 г.</t>
  </si>
  <si>
    <t>Поковки из квадратных заготовок, масса 2,825 кг</t>
  </si>
  <si>
    <t>101-1591</t>
  </si>
  <si>
    <t>ФССЦ 101-1591 пр.№31/пр от 30.01.2014 г.</t>
  </si>
  <si>
    <t>Смола каменноугольная для дорожного строительства</t>
  </si>
  <si>
    <t>101-1742</t>
  </si>
  <si>
    <t>ФССЦ 101-1742 пр.№31/пр от 30.01.2014 г.</t>
  </si>
  <si>
    <t>Толь с крупнозернистой посыпкой гидроизоляционный марки ТГ-350</t>
  </si>
  <si>
    <t>102-0028</t>
  </si>
  <si>
    <t>ФССЦ 102-0028 пр.№31/пр от 30.01.2014 г.</t>
  </si>
  <si>
    <t>Бруски обрезные хвойных пород длиной 4-6,5 м, шириной 75-150 мм, толщиной 100, 125 мм, II сорта</t>
  </si>
  <si>
    <t>ФССЦ 102-0060 пр.№31/пр от 30.01.2014 г.</t>
  </si>
  <si>
    <t>Доски обрезные хвойных пород длиной 4-6,5 м, шириной 75-150 мм, толщиной 44 мм и более, II сорта</t>
  </si>
  <si>
    <t>102-0077</t>
  </si>
  <si>
    <t>ФССЦ 102-0077 пр.№31/пр от 30.01.2014 г.</t>
  </si>
  <si>
    <t>Доски необрезные хвойных пород длиной 4-6,5 м, все ширины, толщиной 32-40 мм, III сорта</t>
  </si>
  <si>
    <t>113-1777</t>
  </si>
  <si>
    <t>ФССЦ 113-1777 пр.№31/пр от 30.01.2014 г.</t>
  </si>
  <si>
    <t>Паста антисептическая</t>
  </si>
  <si>
    <t>101-0309</t>
  </si>
  <si>
    <t>ФССЦ 101-0309 пр.№31/пр от 30.01.2014 г.</t>
  </si>
  <si>
    <t>Канаты пеньковые пропитанные</t>
  </si>
  <si>
    <t>101-1019</t>
  </si>
  <si>
    <t>ФССЦ 101-1019 пр.№31/пр от 30.01.2014 г.</t>
  </si>
  <si>
    <t>Швеллеры № 40 из стали марки Ст0</t>
  </si>
  <si>
    <t>101-9911</t>
  </si>
  <si>
    <t>ФССЦ 101-9911 пр.№31/пр от 30.01.2014 г.</t>
  </si>
  <si>
    <t>Крепежные детали для крепления профилированного настила к несущим конструкциям</t>
  </si>
  <si>
    <t>201-0756</t>
  </si>
  <si>
    <t>ФССЦ 201-0756 пр.№31/пр от 30.01.2014 г.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</si>
  <si>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</si>
  <si>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508-0097</t>
  </si>
  <si>
    <t>ФССЦ 508-0097 пр.№31/пр от 30.01.2014 г.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</si>
  <si>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</si>
  <si>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</si>
  <si>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101-0078</t>
  </si>
  <si>
    <t>ФССЦ 101-0078 пр.№31/пр от 30.01.2014 г.</t>
  </si>
  <si>
    <t>Битумы нефтяные строительные кровельные марки БНК-45/190, БНК-45/180</t>
  </si>
  <si>
    <t>101-0322</t>
  </si>
  <si>
    <t>ФССЦ 101-0322 пр.№31/пр от 30.01.2014 г.</t>
  </si>
  <si>
    <t>Керосин для технических целей марок КТ-1, КТ-2</t>
  </si>
  <si>
    <t>Мастика битумная кровельная горячая</t>
  </si>
  <si>
    <t>Рубероид кровельный с пылевидной посыпкой марки РКП-350б</t>
  </si>
  <si>
    <t>Плиты из минеральной ваты на синтетическом связующем М-125 (ГОСТ 9573-96)</t>
  </si>
  <si>
    <t>Конструкции стальные</t>
  </si>
  <si>
    <t>ТСЭМ Респ. Марий Эл И2, 400001 пр. №467 от 17.05.2012 г.</t>
  </si>
  <si>
    <t>Доски обрезные хвойных пород длиной 4-6,5 м, шириной 75-150, мм толщиной 19-22 мм, II сорта</t>
  </si>
  <si>
    <t>Обшивка наружная и внутренняя из древесины тип 0-1; 0-2; 0-3 толщиной 13 мм, шириной без гребня от 70 до 90 мм</t>
  </si>
  <si>
    <t>ТСЭМ Респ. Марий Эл И2, 021141 пр. №467 от 17.05.2012 г.</t>
  </si>
  <si>
    <t>ТСЭМ Респ. Марий Эл И2, 150401 пр. №467 от 17.05.2012 г.</t>
  </si>
  <si>
    <t>ТСЭМ Респ. Марий Эл И2, 360202 пр. №467 от 17.05.2012 г.</t>
  </si>
  <si>
    <t>Станки для гнутья ручные</t>
  </si>
  <si>
    <t>101-1745</t>
  </si>
  <si>
    <t>ТССЦ Респ. Марий Эл И2, 101-1745 пр. №467 от 17.05.2012 г.</t>
  </si>
  <si>
    <t>Бензин растворитель</t>
  </si>
  <si>
    <t>101-1757</t>
  </si>
  <si>
    <t>ТССЦ Респ. Марий Эл И2, 101-1757 пр. №467 от 17.05.2012 г.</t>
  </si>
  <si>
    <t>101-1810</t>
  </si>
  <si>
    <t>ТССЦ Респ. Марий Эл И2, 101-1810 пр. №467 от 17.05.2012 г.</t>
  </si>
  <si>
    <t>Винты самонарезающие для крепления профилированного настила и панелей к несущим конструкциям</t>
  </si>
  <si>
    <t>Сталь листовая оцинкованная толщиной листа 0,7 мм</t>
  </si>
  <si>
    <t>ТССЦ Респ. Марий Эл И2, 101-2278 пр. №467 от 17.05.2012 г.</t>
  </si>
  <si>
    <t>101-9091</t>
  </si>
  <si>
    <t>ТССЦ Респ. Марий Эл И2, 101-9091 пр. №467 от 17.05.2012 г.</t>
  </si>
  <si>
    <t>Мастика герметизирующая</t>
  </si>
  <si>
    <t>101-9123</t>
  </si>
  <si>
    <t>ТССЦ Респ. Марий Эл И2, 101-9123 пр. №467 от 17.05.2012 г.</t>
  </si>
  <si>
    <t>Материалы рулонные кровельные</t>
  </si>
  <si>
    <t>Поковки из квадратных заготовок, масса 1,8 кг</t>
  </si>
  <si>
    <t>101-0794</t>
  </si>
  <si>
    <t>ТССЦ Респ. Марий Эл И2, 101-0794 пр. №467 от 17.05.2012 г.</t>
  </si>
  <si>
    <t>Проволока канатная оцинкованная, диаметром 2,6 мм</t>
  </si>
  <si>
    <t>040502</t>
  </si>
  <si>
    <t>ТСЭМ Респ. Марий Эл И2, 040502 пр. №467 от 17.05.2012 г.</t>
  </si>
  <si>
    <t>Установки для сварки ручной дуговой (постоянного тока)</t>
  </si>
  <si>
    <t>101-0311</t>
  </si>
  <si>
    <t>ТССЦ Респ. Марий Эл И2, 101-0311 пр. №467 от 17.05.2012 г.</t>
  </si>
  <si>
    <t>Каболка</t>
  </si>
  <si>
    <t>101-1355</t>
  </si>
  <si>
    <t>ТССЦ Респ. Марий Эл И2, 101-1355 пр. №467 от 17.05.2012 г.</t>
  </si>
  <si>
    <t>Цемент гипсоглиноземистый расширяющийся</t>
  </si>
  <si>
    <t>101-1522</t>
  </si>
  <si>
    <t>ТССЦ Респ. Марий Эл И2, 101-1522 пр. №467 от 17.05.2012 г.</t>
  </si>
  <si>
    <t>Электроды диаметром 5 мм Э42А</t>
  </si>
  <si>
    <t>Воронка водосточная диаметром 100 мм</t>
  </si>
  <si>
    <t>411-0001</t>
  </si>
  <si>
    <t>ФССЦ 411-0001 пр.№31/пр от 30.01.2014 г.</t>
  </si>
  <si>
    <t>Вода</t>
  </si>
  <si>
    <t xml:space="preserve">Строительные работы </t>
  </si>
  <si>
    <t>тыс. руб.</t>
  </si>
  <si>
    <t>№ п/п</t>
  </si>
  <si>
    <t>Шифр норм</t>
  </si>
  <si>
    <t>Наименование видов работ и затрат</t>
  </si>
  <si>
    <t>Единица измерения</t>
  </si>
  <si>
    <t>Количество</t>
  </si>
  <si>
    <t>Сметная стоимость в текущих (прогнозных) ценах, руб.</t>
  </si>
  <si>
    <t>Трудозатраты рабочих, чел.-ч</t>
  </si>
  <si>
    <t>Трудозатраты машинистов, чел.-ч</t>
  </si>
  <si>
    <t>На единицу</t>
  </si>
  <si>
    <t>Общая</t>
  </si>
  <si>
    <t>В том числе</t>
  </si>
  <si>
    <t>Основная зарплата</t>
  </si>
  <si>
    <t>Зарплата машинистов</t>
  </si>
  <si>
    <t>Материалы</t>
  </si>
  <si>
    <t xml:space="preserve"> </t>
  </si>
  <si>
    <r>
      <t>Разборка покрытий кровель из волнистых и полуволнистых асбестоцементных листов</t>
    </r>
    <r>
      <rPr>
        <i/>
        <sz val="10"/>
        <color indexed="58"/>
        <rFont val="Times New Roman"/>
        <family val="1"/>
      </rPr>
      <t xml:space="preserve">
К=НР=110; СП=70</t>
    </r>
  </si>
  <si>
    <t>Итого с НР и СП</t>
  </si>
  <si>
    <r>
      <t>Разборка каркаса из досок</t>
    </r>
    <r>
      <rPr>
        <i/>
        <sz val="10"/>
        <color indexed="58"/>
        <rFont val="Times New Roman"/>
        <family val="1"/>
      </rPr>
      <t xml:space="preserve">
К=(ЭММ, ЗПМ, ОЗП, ТЗ, ТЗМ)*0,8; НР=118; СП=63</t>
    </r>
  </si>
  <si>
    <r>
      <t>Рабочий строитель среднего разряда 2,8</t>
    </r>
    <r>
      <rPr>
        <i/>
        <sz val="10"/>
        <rFont val="Times New Roman"/>
        <family val="1"/>
      </rPr>
      <t xml:space="preserve">
к норм. расх. *0,8</t>
    </r>
  </si>
  <si>
    <r>
      <t>Дрели электрические</t>
    </r>
    <r>
      <rPr>
        <i/>
        <sz val="10"/>
        <rFont val="Times New Roman"/>
        <family val="1"/>
      </rPr>
      <t xml:space="preserve">
к норм. расх. *0,8</t>
    </r>
  </si>
  <si>
    <r>
      <t>Пила с карбюраторным двигателем</t>
    </r>
    <r>
      <rPr>
        <i/>
        <sz val="10"/>
        <rFont val="Times New Roman"/>
        <family val="1"/>
      </rPr>
      <t xml:space="preserve">
к норм. расх. *0,8</t>
    </r>
  </si>
  <si>
    <r>
      <t>Автомобили бортовые, грузоподъемность до 5 т</t>
    </r>
    <r>
      <rPr>
        <i/>
        <sz val="10"/>
        <rFont val="Times New Roman"/>
        <family val="1"/>
      </rPr>
      <t xml:space="preserve">
к норм. расх. *0,8</t>
    </r>
  </si>
  <si>
    <r>
      <t>Монтаж кровельного покрытия из профилированного листа при высоте здания до 25 м</t>
    </r>
    <r>
      <rPr>
        <i/>
        <sz val="10"/>
        <color indexed="58"/>
        <rFont val="Times New Roman"/>
        <family val="1"/>
      </rPr>
      <t xml:space="preserve">
К=(ЭММ, ЗПМ, ТЗМ)*1,25; (ОЗП, ТЗ)*1,15; НР=81; СП=72,25</t>
    </r>
  </si>
  <si>
    <r>
      <t>Рабочий строитель среднего разряда 3,2</t>
    </r>
    <r>
      <rPr>
        <i/>
        <sz val="10"/>
        <rFont val="Times New Roman"/>
        <family val="1"/>
      </rPr>
      <t xml:space="preserve">
к норм. расх. *1,15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</si>
  <si>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*1,25</t>
    </r>
  </si>
  <si>
    <r>
      <t>Краны козловые при работе на монтаже технологического оборудования 32 т</t>
    </r>
    <r>
      <rPr>
        <i/>
        <sz val="10"/>
        <rFont val="Times New Roman"/>
        <family val="1"/>
      </rPr>
      <t xml:space="preserve">
к норм. расх. *1,25</t>
    </r>
  </si>
  <si>
    <r>
      <t>Краны на автомобильном ходу при работе на других видах строительства 10 т</t>
    </r>
    <r>
      <rPr>
        <i/>
        <sz val="10"/>
        <rFont val="Times New Roman"/>
        <family val="1"/>
      </rPr>
      <t xml:space="preserve">
к норм. расх. *1,25</t>
    </r>
  </si>
  <si>
    <r>
      <t>Краны на гусеничном ходу при работе на других видах строительства 40 т</t>
    </r>
    <r>
      <rPr>
        <i/>
        <sz val="10"/>
        <rFont val="Times New Roman"/>
        <family val="1"/>
      </rPr>
      <t xml:space="preserve">
к норм. расх. *1,25</t>
    </r>
  </si>
  <si>
    <r>
      <t>Домкраты гидравлические грузоподъемностью 63-100 т</t>
    </r>
    <r>
      <rPr>
        <i/>
        <sz val="10"/>
        <rFont val="Times New Roman"/>
        <family val="1"/>
      </rPr>
      <t xml:space="preserve">
к норм. расх. *1,25</t>
    </r>
  </si>
  <si>
    <r>
      <t>Аппарат для газовой сварки и резки</t>
    </r>
    <r>
      <rPr>
        <i/>
        <sz val="10"/>
        <rFont val="Times New Roman"/>
        <family val="1"/>
      </rPr>
      <t xml:space="preserve">
к норм. расх. *1,25</t>
    </r>
  </si>
  <si>
    <r>
      <t>Преобразователи сварочные с номинальным сварочным током 315-500 А</t>
    </r>
    <r>
      <rPr>
        <i/>
        <sz val="10"/>
        <rFont val="Times New Roman"/>
        <family val="1"/>
      </rPr>
      <t xml:space="preserve">
к норм. расх. *1,25</t>
    </r>
  </si>
  <si>
    <r>
      <t>Электрические печи для сушки сварочных материалов с регулированием температуры в пределах от 80 °С до 500 °С</t>
    </r>
    <r>
      <rPr>
        <i/>
        <sz val="10"/>
        <rFont val="Times New Roman"/>
        <family val="1"/>
      </rPr>
      <t xml:space="preserve">
к норм. расх. *1,25</t>
    </r>
  </si>
  <si>
    <r>
      <t>Дрели электрические</t>
    </r>
    <r>
      <rPr>
        <i/>
        <sz val="10"/>
        <rFont val="Times New Roman"/>
        <family val="1"/>
      </rPr>
      <t xml:space="preserve">
к норм. расх. *1,25</t>
    </r>
  </si>
  <si>
    <r>
      <t>Автомобили бортовые, грузоподъемность до 5 т</t>
    </r>
    <r>
      <rPr>
        <i/>
        <sz val="10"/>
        <rFont val="Times New Roman"/>
        <family val="1"/>
      </rPr>
      <t xml:space="preserve">
к норм. расх. *1,25</t>
    </r>
  </si>
  <si>
    <r>
      <t>Резка стального профилированного настила</t>
    </r>
    <r>
      <rPr>
        <i/>
        <sz val="10"/>
        <color indexed="58"/>
        <rFont val="Times New Roman"/>
        <family val="1"/>
      </rPr>
      <t xml:space="preserve">
К=(ЭММ, ЗПМ, ТЗМ)*1,25; (ОЗП, ТЗ)*1,15; НР=81; СП=72,25</t>
    </r>
  </si>
  <si>
    <r>
      <t>Рабочий строитель среднего разряда 3,4</t>
    </r>
    <r>
      <rPr>
        <i/>
        <sz val="10"/>
        <rFont val="Times New Roman"/>
        <family val="1"/>
      </rPr>
      <t xml:space="preserve">
к норм. расх. *1,15</t>
    </r>
  </si>
  <si>
    <r>
      <t>Машины шлифовальные угловые</t>
    </r>
    <r>
      <rPr>
        <i/>
        <sz val="10"/>
        <rFont val="Times New Roman"/>
        <family val="1"/>
      </rPr>
      <t xml:space="preserve">
к норм. расх. *1,25</t>
    </r>
  </si>
  <si>
    <r>
      <t>Устройство пароизоляции оклеечной в один слой</t>
    </r>
    <r>
      <rPr>
        <i/>
        <sz val="10"/>
        <color indexed="58"/>
        <rFont val="Times New Roman"/>
        <family val="1"/>
      </rPr>
      <t xml:space="preserve">
К=(ЭММ, ЗПМ, ТЗМ)*1,25; (ОЗП, ТЗ)*1,15; НР=108; СП=55,25</t>
    </r>
  </si>
  <si>
    <r>
      <t>Рабочий строитель среднего разряда 3,8</t>
    </r>
    <r>
      <rPr>
        <i/>
        <sz val="10"/>
        <rFont val="Times New Roman"/>
        <family val="1"/>
      </rPr>
      <t xml:space="preserve">
к норм. расх. *1,15</t>
    </r>
  </si>
  <si>
    <r>
      <t>Краны башенные при работе на других видах строительства 8 т</t>
    </r>
    <r>
      <rPr>
        <i/>
        <sz val="10"/>
        <rFont val="Times New Roman"/>
        <family val="1"/>
      </rPr>
      <t xml:space="preserve">
к норм. расх. *1,25</t>
    </r>
  </si>
  <si>
    <r>
      <t>Котлы битумные передвижные 400 л</t>
    </r>
    <r>
      <rPr>
        <i/>
        <sz val="10"/>
        <rFont val="Times New Roman"/>
        <family val="1"/>
      </rPr>
      <t xml:space="preserve">
к норм. расх. *1,25</t>
    </r>
  </si>
  <si>
    <r>
      <t>Утепление покрытий плитами из минеральной ваты или перлита на битумной мастике в один слой</t>
    </r>
    <r>
      <rPr>
        <i/>
        <sz val="10"/>
        <color indexed="58"/>
        <rFont val="Times New Roman"/>
        <family val="1"/>
      </rPr>
      <t xml:space="preserve">
К=(ЭММ, ЗПМ, ТЗМ)*1,25; (ОЗП, ТЗ)*1,15; НР=108; СП=55,25</t>
    </r>
  </si>
  <si>
    <r>
      <t>Рабочий строитель среднего разряда 3,9</t>
    </r>
    <r>
      <rPr>
        <i/>
        <sz val="10"/>
        <rFont val="Times New Roman"/>
        <family val="1"/>
      </rPr>
      <t xml:space="preserve">
к норм. расх. *1,15</t>
    </r>
  </si>
  <si>
    <r>
      <t>Утепление покрытий плитами на каждый последующий слой добавлять к расценке 12-01-013-03</t>
    </r>
    <r>
      <rPr>
        <i/>
        <sz val="10"/>
        <color indexed="58"/>
        <rFont val="Times New Roman"/>
        <family val="1"/>
      </rPr>
      <t xml:space="preserve">
К=МАТ*2; (ЭММ, ЗПМ, ТЗМ)*2*1,25; (ОЗП, ТЗ)*2*1,15; НР=108; СП=55,25</t>
    </r>
  </si>
  <si>
    <r>
      <t>Рабочий строитель среднего разряда 3,9</t>
    </r>
    <r>
      <rPr>
        <i/>
        <sz val="10"/>
        <rFont val="Times New Roman"/>
        <family val="1"/>
      </rPr>
      <t xml:space="preserve">
к норм. расх. *2*1,15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</si>
  <si>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*2*1,25</t>
    </r>
  </si>
  <si>
    <r>
      <t>Краны башенные при работе на других видах строительства 8 т</t>
    </r>
    <r>
      <rPr>
        <i/>
        <sz val="10"/>
        <rFont val="Times New Roman"/>
        <family val="1"/>
      </rPr>
      <t xml:space="preserve">
к норм. расх. *2*1,25</t>
    </r>
  </si>
  <si>
    <r>
      <t>Краны на автомобильном ходу при работе на других видах строительства 10 т</t>
    </r>
    <r>
      <rPr>
        <i/>
        <sz val="10"/>
        <rFont val="Times New Roman"/>
        <family val="1"/>
      </rPr>
      <t xml:space="preserve">
к норм. расх. *2*1,25</t>
    </r>
  </si>
  <si>
    <r>
      <t>Автомобили бортовые, грузоподъемность до 5 т</t>
    </r>
    <r>
      <rPr>
        <i/>
        <sz val="10"/>
        <rFont val="Times New Roman"/>
        <family val="1"/>
      </rPr>
      <t xml:space="preserve">
к норм. расх. *2*1,25</t>
    </r>
  </si>
  <si>
    <r>
      <t>Кровельный крепёж</t>
    </r>
    <r>
      <rPr>
        <i/>
        <sz val="10"/>
        <rFont val="Times New Roman"/>
        <family val="1"/>
      </rPr>
      <t xml:space="preserve">
к норм. расх. *2</t>
    </r>
  </si>
  <si>
    <r>
      <t>Дюбель</t>
    </r>
    <r>
      <rPr>
        <i/>
        <sz val="10"/>
        <rFont val="Times New Roman"/>
        <family val="1"/>
      </rPr>
      <t xml:space="preserve">
к норм. расх. *2</t>
    </r>
  </si>
  <si>
    <r>
      <t>Саморез</t>
    </r>
    <r>
      <rPr>
        <i/>
        <sz val="10"/>
        <rFont val="Times New Roman"/>
        <family val="1"/>
      </rPr>
      <t xml:space="preserve">
к норм. расх. *2</t>
    </r>
  </si>
  <si>
    <r>
      <t>Минплита Изоруф В 40 мм</t>
    </r>
    <r>
      <rPr>
        <i/>
        <sz val="10"/>
        <rFont val="Times New Roman"/>
        <family val="1"/>
      </rPr>
      <t xml:space="preserve">
к норм. расх. *2</t>
    </r>
  </si>
  <si>
    <r>
      <t>Устройство металлического каркаса из уголка под фонарный свес</t>
    </r>
    <r>
      <rPr>
        <i/>
        <sz val="10"/>
        <color indexed="58"/>
        <rFont val="Times New Roman"/>
        <family val="1"/>
      </rPr>
      <t xml:space="preserve">
К=(ЭММ, ЗПМ, ТЗМ)*1,25; (ОЗП, ТЗ)*1,15; НР=81; СП=72,25</t>
    </r>
  </si>
  <si>
    <r>
      <t>Устройство фонарного свеса</t>
    </r>
    <r>
      <rPr>
        <i/>
        <sz val="10"/>
        <color indexed="58"/>
        <rFont val="Times New Roman"/>
        <family val="1"/>
      </rPr>
      <t xml:space="preserve">
К=(ЭММ, ЗПМ, ТЗМ)*1,25; (ОЗП, ТЗ)*1,15; НР=106,2; СП=53,55</t>
    </r>
  </si>
  <si>
    <r>
      <t>Рабочий строитель среднего разряда 3</t>
    </r>
    <r>
      <rPr>
        <i/>
        <sz val="10"/>
        <rFont val="Times New Roman"/>
        <family val="1"/>
      </rPr>
      <t xml:space="preserve">
к норм. расх. *1,15</t>
    </r>
  </si>
  <si>
    <r>
      <t>Пила дисковая электрическая</t>
    </r>
    <r>
      <rPr>
        <i/>
        <sz val="10"/>
        <rFont val="Times New Roman"/>
        <family val="1"/>
      </rPr>
      <t xml:space="preserve">
к норм. расх. *1,25</t>
    </r>
  </si>
  <si>
    <r>
      <t>Устройство однослойной кровли и примыканий  из полимерного рулонного материала.</t>
    </r>
    <r>
      <rPr>
        <i/>
        <sz val="10"/>
        <color indexed="58"/>
        <rFont val="Times New Roman"/>
        <family val="1"/>
      </rPr>
      <t xml:space="preserve">
К=(ЭММ, ЗПМ, ТЗМ)*1,25; (ОЗП, ТЗ)*1,15; НР=108; СП=55,25</t>
    </r>
  </si>
  <si>
    <r>
      <t>Краны на автомобильном ходу при работе на других видах строительства</t>
    </r>
    <r>
      <rPr>
        <i/>
        <sz val="10"/>
        <rFont val="Times New Roman"/>
        <family val="1"/>
      </rPr>
      <t xml:space="preserve">
к норм. расх. *1,25</t>
    </r>
  </si>
  <si>
    <r>
      <t>Горелки газопламенные</t>
    </r>
    <r>
      <rPr>
        <i/>
        <sz val="10"/>
        <rFont val="Times New Roman"/>
        <family val="1"/>
      </rPr>
      <t xml:space="preserve">
к норм. расх. *1,25</t>
    </r>
  </si>
  <si>
    <r>
      <t>Станок сверлильный</t>
    </r>
    <r>
      <rPr>
        <i/>
        <sz val="10"/>
        <rFont val="Times New Roman"/>
        <family val="1"/>
      </rPr>
      <t xml:space="preserve">
к норм. расх. *1,25</t>
    </r>
  </si>
  <si>
    <r>
      <t>Перфораторы электрические</t>
    </r>
    <r>
      <rPr>
        <i/>
        <sz val="10"/>
        <rFont val="Times New Roman"/>
        <family val="1"/>
      </rPr>
      <t xml:space="preserve">
к норм. расх. *1,25</t>
    </r>
  </si>
  <si>
    <r>
      <t>Станки длягнутья ручные</t>
    </r>
    <r>
      <rPr>
        <i/>
        <sz val="10"/>
        <rFont val="Times New Roman"/>
        <family val="1"/>
      </rPr>
      <t xml:space="preserve">
к норм. расх. *1,25</t>
    </r>
  </si>
  <si>
    <r>
      <t>Смена мелких покрытий из листовой стали в кровлях из рулонных и штучных материалов карнизных свесов</t>
    </r>
    <r>
      <rPr>
        <i/>
        <sz val="10"/>
        <color indexed="58"/>
        <rFont val="Times New Roman"/>
        <family val="1"/>
      </rPr>
      <t xml:space="preserve">
К=НР=83; СП=65</t>
    </r>
  </si>
  <si>
    <r>
      <t>Погрузка: Мусор   строительный   с   погрузкой   экскаваторами емкостью ковша до 0,5мЗ</t>
    </r>
    <r>
      <rPr>
        <i/>
        <sz val="10"/>
        <color indexed="58"/>
        <rFont val="Times New Roman"/>
        <family val="1"/>
      </rPr>
      <t xml:space="preserve">
К=НР=85; СП=48</t>
    </r>
  </si>
  <si>
    <r>
      <t>Разборка покрытий примыканий кровель из рулонных материалов</t>
    </r>
    <r>
      <rPr>
        <i/>
        <sz val="10"/>
        <color indexed="58"/>
        <rFont val="Times New Roman"/>
        <family val="1"/>
      </rPr>
      <t xml:space="preserve">
К=НР=110; СП=70</t>
    </r>
  </si>
  <si>
    <r>
      <t>Устройство каркаса примыканий парапета</t>
    </r>
    <r>
      <rPr>
        <i/>
        <sz val="10"/>
        <color indexed="58"/>
        <rFont val="Times New Roman"/>
        <family val="1"/>
      </rPr>
      <t xml:space="preserve">
К=(ЭММ, ЗПМ, ТЗМ)*1,25; (ОЗП, ТЗ)*1,15; НР=106,2; СП=53,55</t>
    </r>
  </si>
  <si>
    <r>
      <t>Демонтаж воронок водосточных</t>
    </r>
    <r>
      <rPr>
        <i/>
        <sz val="10"/>
        <color indexed="58"/>
        <rFont val="Times New Roman"/>
        <family val="1"/>
      </rPr>
      <t xml:space="preserve">
К=(ЭММ, ЗПМ, ОЗП, ТЗ, ТЗМ)*0,8; НР=128; СП=83</t>
    </r>
  </si>
  <si>
    <r>
      <t>Рабочий строитель среднего разряда 4,1</t>
    </r>
    <r>
      <rPr>
        <i/>
        <sz val="10"/>
        <rFont val="Times New Roman"/>
        <family val="1"/>
      </rPr>
      <t xml:space="preserve">
к норм. расх. *0,8</t>
    </r>
  </si>
  <si>
    <r>
      <t>Установка воронок водосточных</t>
    </r>
    <r>
      <rPr>
        <i/>
        <sz val="10"/>
        <color indexed="58"/>
        <rFont val="Times New Roman"/>
        <family val="1"/>
      </rPr>
      <t xml:space="preserve">
К=(ЭММ, ЗПМ, ТЗМ)*1,25; (ОЗП, ТЗ)*1,15; НР=115,2; СП=70,55</t>
    </r>
  </si>
  <si>
    <r>
      <t>Рабочий строитель среднего разряда 4,1</t>
    </r>
    <r>
      <rPr>
        <i/>
        <sz val="10"/>
        <rFont val="Times New Roman"/>
        <family val="1"/>
      </rPr>
      <t xml:space="preserve">
к норм. расх. *1,15</t>
    </r>
  </si>
  <si>
    <r>
      <t>Ремонт кирпичной кладки стен отдельными местами</t>
    </r>
    <r>
      <rPr>
        <i/>
        <sz val="10"/>
        <color indexed="58"/>
        <rFont val="Times New Roman"/>
        <family val="1"/>
      </rPr>
      <t xml:space="preserve">
К=НР=86; СП=70</t>
    </r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</si>
  <si>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</si>
  <si>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</si>
  <si>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</si>
  <si>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</si>
  <si>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</si>
  <si>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</si>
  <si>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</si>
  <si>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</si>
  <si>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</si>
  <si>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</si>
  <si>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</si>
  <si>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</si>
  <si>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</si>
  <si>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</si>
  <si>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</si>
  <si>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</si>
  <si>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</si>
  <si>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</si>
  <si>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</si>
  <si>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</si>
  <si>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</si>
  <si>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</si>
  <si>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</si>
  <si>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</si>
  <si>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</si>
  <si>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</si>
  <si>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</si>
  <si>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</si>
  <si>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помещение 1113 кровля вариант2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</si>
  <si>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</si>
  <si>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</si>
  <si>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</si>
  <si>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</si>
  <si>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</si>
  <si>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</si>
  <si>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>Локальная смета: Ремонт кровли фонаря в осях (3-12)(Д-Е); (И-К)</t>
  </si>
  <si>
    <t>Материальные ресурсы (неучтенные)</t>
  </si>
  <si>
    <t xml:space="preserve">Итого материальные ресурсы </t>
  </si>
  <si>
    <t>Локальная смета: Ремонт кровли корпуса №20 в осях  (1-9) (Г-Ж)</t>
  </si>
  <si>
    <t>Итого по объекту: помещение 1113 кровля вариант2</t>
  </si>
  <si>
    <t xml:space="preserve">Итого материалы заказчика </t>
  </si>
  <si>
    <t>"УТВЕРЖДАЮ"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</si>
  <si>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</si>
  <si>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</si>
  <si>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</si>
  <si>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</si>
  <si>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Наименование работ и затрат</t>
  </si>
  <si>
    <t>Примечание</t>
  </si>
  <si>
    <t>Заказчик _________________</t>
  </si>
  <si>
    <t>Подрядчик _________________</t>
  </si>
  <si>
    <t xml:space="preserve">Приложение № 2  к договору №                                               от    </t>
  </si>
  <si>
    <t>"Согласовано"</t>
  </si>
  <si>
    <t>"Утверждаю"</t>
  </si>
  <si>
    <t>Директор ООО "Промтехвуз-М"</t>
  </si>
  <si>
    <t>Генеральный директор АО "ММЗ"</t>
  </si>
  <si>
    <t>_______________ / Логушин И.Ю. /</t>
  </si>
  <si>
    <t>_______________ / Ефремов Б.И./</t>
  </si>
  <si>
    <t>"_____" __________________  2017 г.</t>
  </si>
  <si>
    <t>СМЕТА</t>
  </si>
  <si>
    <t>Ремонт кровли по фонарям</t>
  </si>
  <si>
    <t>Ремонт кровли по фермам</t>
  </si>
  <si>
    <t>На Ремонт кровли корпуса № 20 в осях 1-12 / А-К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</si>
</sst>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;[Red]\-\ #,##0.00"/>
    <numFmt numFmtId="185" formatCode="#,##0;[Red]\-\ #,##0"/>
    <numFmt numFmtId="186" formatCode="#,##0.00####;[Red]\-\ #,##0.00####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0"/>
      <color indexed="5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33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184" fontId="13" fillId="0" borderId="0" xfId="0" applyNumberFormat="1" applyFont="1" applyAlignment="1">
      <alignment horizontal="right" wrapText="1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65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right" vertical="top" wrapText="1"/>
    </xf>
    <xf numFmtId="0" fontId="65" fillId="0" borderId="11" xfId="0" applyFont="1" applyBorder="1" applyAlignment="1">
      <alignment horizontal="right"/>
    </xf>
    <xf numFmtId="184" fontId="65" fillId="0" borderId="11" xfId="0" applyNumberFormat="1" applyFont="1" applyBorder="1" applyAlignment="1">
      <alignment horizontal="right"/>
    </xf>
    <xf numFmtId="185" fontId="65" fillId="0" borderId="11" xfId="0" applyNumberFormat="1" applyFont="1" applyBorder="1" applyAlignment="1">
      <alignment horizontal="right"/>
    </xf>
    <xf numFmtId="186" fontId="65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right" vertical="top"/>
    </xf>
    <xf numFmtId="185" fontId="13" fillId="0" borderId="11" xfId="0" applyNumberFormat="1" applyFont="1" applyBorder="1" applyAlignment="1">
      <alignment horizontal="right" vertical="top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right" vertical="top"/>
    </xf>
    <xf numFmtId="185" fontId="18" fillId="0" borderId="10" xfId="0" applyNumberFormat="1" applyFont="1" applyBorder="1" applyAlignment="1">
      <alignment horizontal="right" vertical="top"/>
    </xf>
    <xf numFmtId="0" fontId="20" fillId="0" borderId="12" xfId="0" applyFont="1" applyBorder="1" applyAlignment="1">
      <alignment horizontal="right" wrapText="1"/>
    </xf>
    <xf numFmtId="0" fontId="20" fillId="0" borderId="13" xfId="0" applyFont="1" applyBorder="1" applyAlignment="1">
      <alignment horizontal="right" wrapText="1"/>
    </xf>
    <xf numFmtId="0" fontId="20" fillId="0" borderId="14" xfId="0" applyFont="1" applyBorder="1" applyAlignment="1">
      <alignment horizontal="right" wrapText="1"/>
    </xf>
    <xf numFmtId="0" fontId="20" fillId="0" borderId="13" xfId="0" applyFont="1" applyBorder="1" applyAlignment="1">
      <alignment horizontal="left" wrapText="1"/>
    </xf>
    <xf numFmtId="184" fontId="20" fillId="0" borderId="13" xfId="0" applyNumberFormat="1" applyFont="1" applyBorder="1" applyAlignment="1">
      <alignment horizontal="right" wrapText="1"/>
    </xf>
    <xf numFmtId="185" fontId="20" fillId="0" borderId="13" xfId="0" applyNumberFormat="1" applyFont="1" applyBorder="1" applyAlignment="1">
      <alignment horizontal="right" wrapText="1"/>
    </xf>
    <xf numFmtId="0" fontId="20" fillId="0" borderId="15" xfId="0" applyFont="1" applyBorder="1" applyAlignment="1">
      <alignment horizontal="right" wrapText="1"/>
    </xf>
    <xf numFmtId="0" fontId="20" fillId="0" borderId="16" xfId="0" applyFont="1" applyBorder="1" applyAlignment="1">
      <alignment horizontal="right" wrapText="1"/>
    </xf>
    <xf numFmtId="0" fontId="20" fillId="0" borderId="17" xfId="0" applyFont="1" applyBorder="1" applyAlignment="1">
      <alignment horizontal="right" wrapText="1"/>
    </xf>
    <xf numFmtId="0" fontId="20" fillId="0" borderId="16" xfId="0" applyFont="1" applyBorder="1" applyAlignment="1">
      <alignment horizontal="left" wrapText="1"/>
    </xf>
    <xf numFmtId="184" fontId="20" fillId="0" borderId="16" xfId="0" applyNumberFormat="1" applyFont="1" applyBorder="1" applyAlignment="1">
      <alignment horizontal="right" wrapText="1"/>
    </xf>
    <xf numFmtId="185" fontId="20" fillId="0" borderId="16" xfId="0" applyNumberFormat="1" applyFont="1" applyBorder="1" applyAlignment="1">
      <alignment horizontal="right" wrapText="1"/>
    </xf>
    <xf numFmtId="0" fontId="20" fillId="0" borderId="18" xfId="0" applyFont="1" applyBorder="1" applyAlignment="1">
      <alignment horizontal="right" wrapText="1"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horizontal="right" wrapText="1"/>
    </xf>
    <xf numFmtId="184" fontId="20" fillId="0" borderId="19" xfId="0" applyNumberFormat="1" applyFont="1" applyBorder="1" applyAlignment="1">
      <alignment horizontal="right" wrapText="1"/>
    </xf>
    <xf numFmtId="185" fontId="20" fillId="0" borderId="19" xfId="0" applyNumberFormat="1" applyFont="1" applyBorder="1" applyAlignment="1">
      <alignment horizontal="right" wrapText="1"/>
    </xf>
    <xf numFmtId="0" fontId="20" fillId="0" borderId="20" xfId="0" applyFont="1" applyBorder="1" applyAlignment="1">
      <alignment horizontal="right" wrapText="1"/>
    </xf>
    <xf numFmtId="0" fontId="20" fillId="0" borderId="21" xfId="0" applyFont="1" applyBorder="1" applyAlignment="1">
      <alignment horizontal="right" wrapText="1"/>
    </xf>
    <xf numFmtId="0" fontId="20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horizontal="right" wrapText="1"/>
    </xf>
    <xf numFmtId="184" fontId="20" fillId="0" borderId="22" xfId="0" applyNumberFormat="1" applyFont="1" applyBorder="1" applyAlignment="1">
      <alignment horizontal="right" wrapText="1"/>
    </xf>
    <xf numFmtId="185" fontId="20" fillId="0" borderId="22" xfId="0" applyNumberFormat="1" applyFont="1" applyBorder="1" applyAlignment="1">
      <alignment horizontal="right" wrapText="1"/>
    </xf>
    <xf numFmtId="0" fontId="20" fillId="0" borderId="23" xfId="0" applyFont="1" applyBorder="1" applyAlignment="1">
      <alignment horizontal="right" wrapText="1"/>
    </xf>
    <xf numFmtId="184" fontId="18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85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 quotePrefix="1">
      <alignment horizontal="left" wrapText="1"/>
    </xf>
    <xf numFmtId="0" fontId="66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right" wrapText="1"/>
    </xf>
    <xf numFmtId="184" fontId="13" fillId="0" borderId="10" xfId="0" applyNumberFormat="1" applyFont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right" wrapText="1"/>
    </xf>
    <xf numFmtId="0" fontId="17" fillId="0" borderId="11" xfId="0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10" xfId="0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>
      <alignment horizontal="left" vertical="top" wrapText="1"/>
    </xf>
    <xf numFmtId="184" fontId="17" fillId="0" borderId="10" xfId="0" applyNumberFormat="1" applyFont="1" applyBorder="1" applyAlignment="1">
      <alignment horizontal="right" wrapText="1"/>
    </xf>
    <xf numFmtId="185" fontId="13" fillId="0" borderId="10" xfId="0" applyNumberFormat="1" applyFont="1" applyBorder="1" applyAlignment="1">
      <alignment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0" fillId="0" borderId="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185" fontId="18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/>
    </xf>
    <xf numFmtId="184" fontId="18" fillId="0" borderId="10" xfId="0" applyNumberFormat="1" applyFont="1" applyBorder="1" applyAlignment="1">
      <alignment horizontal="right"/>
    </xf>
    <xf numFmtId="0" fontId="15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4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/>
    </xf>
    <xf numFmtId="184" fontId="21" fillId="0" borderId="10" xfId="0" applyNumberFormat="1" applyFont="1" applyBorder="1" applyAlignment="1">
      <alignment horizontal="right"/>
    </xf>
    <xf numFmtId="0" fontId="24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8;&#1086;&#1084;&#1090;&#1077;&#1093;&#1074;&#1091;&#1079;\(&#1087;&#1088;&#1080;&#1089;&#1090;&#1088;&#1086;&#1081;)%20&#1082;&#1086;&#1084;&#1085;&#1072;&#1090;&#1072;%20&#1074;&#1083;&#1072;&#1075;&#1080;\&#1055;&#1088;&#1080;&#1089;&#1090;&#1088;&#1086;&#1081;%20(&#1082;&#1086;&#1084;&#1085;&#1072;&#1090;&#1072;%20&#1074;&#1083;&#1072;&#1075;&#1080;)&#1089;&#1084;&#1077;&#1090;&#1072;%2003.04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ектная ведомость"/>
      <sheetName val="Смета в текущих ценах(14гр"/>
      <sheetName val="Source"/>
      <sheetName val="SourceObSm"/>
      <sheetName val="SmtRes"/>
      <sheetName val="Etalon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4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40.7109375" style="0" customWidth="1"/>
    <col min="4" max="14" width="12.7109375" style="0" customWidth="1"/>
    <col min="20" max="26" width="0" style="0" hidden="1" customWidth="1"/>
    <col min="27" max="27" width="160.28125" style="0" hidden="1" customWidth="1"/>
    <col min="28" max="30" width="0" style="0" hidden="1" customWidth="1"/>
    <col min="31" max="31" width="196.28125" style="0" hidden="1" customWidth="1"/>
    <col min="32" max="33" width="0" style="0" hidden="1" customWidth="1"/>
    <col min="34" max="34" width="112.28125" style="0" hidden="1" customWidth="1"/>
    <col min="35" max="36" width="0" style="0" hidden="1" customWidth="1"/>
  </cols>
  <sheetData>
    <row r="1" spans="1:16" s="9" customFormat="1" ht="13.5" customHeight="1">
      <c r="A1" s="88"/>
      <c r="B1" s="89"/>
      <c r="C1" s="90"/>
      <c r="H1" s="104" t="s">
        <v>657</v>
      </c>
      <c r="I1" s="104"/>
      <c r="J1" s="104"/>
      <c r="K1" s="104"/>
      <c r="L1" s="104"/>
      <c r="M1" s="104"/>
      <c r="N1" s="104"/>
      <c r="O1" s="91"/>
      <c r="P1" s="91"/>
    </row>
    <row r="2" spans="1:14" s="94" customFormat="1" ht="12.75" customHeight="1">
      <c r="A2" s="92"/>
      <c r="B2" s="92"/>
      <c r="C2" s="92"/>
      <c r="D2" s="92"/>
      <c r="E2" s="92"/>
      <c r="F2" s="92"/>
      <c r="G2" s="92"/>
      <c r="H2" s="92"/>
      <c r="I2" s="92"/>
      <c r="J2" s="93"/>
      <c r="K2" s="93"/>
      <c r="L2" s="93"/>
      <c r="M2" s="93"/>
      <c r="N2" s="93"/>
    </row>
    <row r="3" spans="1:16" s="9" customFormat="1" ht="15.75" customHeight="1">
      <c r="A3" s="95"/>
      <c r="B3" s="100" t="s">
        <v>658</v>
      </c>
      <c r="C3" s="100"/>
      <c r="D3" s="100"/>
      <c r="E3" s="100"/>
      <c r="J3" s="100" t="s">
        <v>659</v>
      </c>
      <c r="K3" s="100"/>
      <c r="L3" s="100"/>
      <c r="M3" s="100"/>
      <c r="N3" s="100"/>
      <c r="O3" s="96"/>
      <c r="P3" s="96"/>
    </row>
    <row r="4" spans="1:30" s="9" customFormat="1" ht="15.75" customHeight="1">
      <c r="A4" s="95"/>
      <c r="B4" s="100" t="s">
        <v>660</v>
      </c>
      <c r="C4" s="100"/>
      <c r="D4" s="100"/>
      <c r="E4" s="100"/>
      <c r="J4" s="100" t="s">
        <v>661</v>
      </c>
      <c r="K4" s="100"/>
      <c r="L4" s="100"/>
      <c r="M4" s="100"/>
      <c r="N4" s="100"/>
      <c r="O4" s="96"/>
      <c r="P4" s="96"/>
      <c r="AD4" s="97"/>
    </row>
    <row r="5" spans="1:30" s="9" customFormat="1" ht="15.75" customHeight="1">
      <c r="A5" s="95"/>
      <c r="B5" s="100" t="s">
        <v>662</v>
      </c>
      <c r="C5" s="100"/>
      <c r="D5" s="100"/>
      <c r="E5" s="100"/>
      <c r="J5" s="100" t="s">
        <v>663</v>
      </c>
      <c r="K5" s="100"/>
      <c r="L5" s="100"/>
      <c r="M5" s="100"/>
      <c r="N5" s="100"/>
      <c r="O5" s="96"/>
      <c r="P5" s="96"/>
      <c r="AD5" s="97" t="str">
        <f>CONCATENATE(IF('[1]Source'!AH14&lt;&gt;"",'[1]Source'!AH14," "),"__________")</f>
        <v> __________</v>
      </c>
    </row>
    <row r="6" spans="1:16" s="9" customFormat="1" ht="15.75" customHeight="1">
      <c r="A6" s="95"/>
      <c r="B6" s="100" t="s">
        <v>664</v>
      </c>
      <c r="C6" s="100"/>
      <c r="D6" s="100"/>
      <c r="E6" s="100"/>
      <c r="J6" s="100" t="s">
        <v>664</v>
      </c>
      <c r="K6" s="100"/>
      <c r="L6" s="100"/>
      <c r="M6" s="100"/>
      <c r="N6" s="100"/>
      <c r="O6" s="96"/>
      <c r="P6" s="96"/>
    </row>
    <row r="7" spans="1:14" ht="12.75">
      <c r="A7" s="99"/>
      <c r="B7" s="99"/>
      <c r="C7" s="99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7" ht="15">
      <c r="A8" s="100"/>
      <c r="B8" s="100"/>
      <c r="C8" s="100"/>
      <c r="D8" s="100"/>
      <c r="E8" s="100"/>
      <c r="F8" s="100"/>
      <c r="G8" s="100"/>
      <c r="H8" s="100"/>
      <c r="I8" s="100"/>
      <c r="J8" s="8"/>
      <c r="K8" s="8"/>
      <c r="L8" s="8"/>
      <c r="M8" s="8"/>
      <c r="N8" s="8"/>
      <c r="AA8" s="10"/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6.5">
      <c r="A10" s="101" t="s">
        <v>665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31" ht="16.5">
      <c r="A11" s="102" t="s">
        <v>668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AE11" s="11" t="str">
        <f>Source!G12</f>
        <v>помещение 1113 кровля вариант2</v>
      </c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>
      <c r="A13" s="103" t="s">
        <v>533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3">
        <f>(Source!F139)/1000</f>
        <v>9163.721</v>
      </c>
      <c r="N13" s="12" t="s">
        <v>534</v>
      </c>
    </row>
    <row r="14" spans="1:14" ht="15">
      <c r="A14" s="105" t="s">
        <v>535</v>
      </c>
      <c r="B14" s="105" t="s">
        <v>536</v>
      </c>
      <c r="C14" s="105" t="s">
        <v>537</v>
      </c>
      <c r="D14" s="105" t="s">
        <v>538</v>
      </c>
      <c r="E14" s="108" t="s">
        <v>539</v>
      </c>
      <c r="F14" s="109"/>
      <c r="G14" s="108" t="s">
        <v>540</v>
      </c>
      <c r="H14" s="110"/>
      <c r="I14" s="110"/>
      <c r="J14" s="110"/>
      <c r="K14" s="110"/>
      <c r="L14" s="109"/>
      <c r="M14" s="105" t="s">
        <v>541</v>
      </c>
      <c r="N14" s="105" t="s">
        <v>542</v>
      </c>
    </row>
    <row r="15" spans="1:14" ht="15">
      <c r="A15" s="106"/>
      <c r="B15" s="106"/>
      <c r="C15" s="106"/>
      <c r="D15" s="106"/>
      <c r="E15" s="105" t="s">
        <v>543</v>
      </c>
      <c r="F15" s="105" t="s">
        <v>157</v>
      </c>
      <c r="G15" s="105" t="s">
        <v>543</v>
      </c>
      <c r="H15" s="105" t="s">
        <v>544</v>
      </c>
      <c r="I15" s="108" t="s">
        <v>545</v>
      </c>
      <c r="J15" s="110"/>
      <c r="K15" s="110"/>
      <c r="L15" s="109"/>
      <c r="M15" s="106"/>
      <c r="N15" s="106"/>
    </row>
    <row r="16" spans="1:14" ht="30">
      <c r="A16" s="107"/>
      <c r="B16" s="107"/>
      <c r="C16" s="107"/>
      <c r="D16" s="107"/>
      <c r="E16" s="107"/>
      <c r="F16" s="107"/>
      <c r="G16" s="107"/>
      <c r="H16" s="107"/>
      <c r="I16" s="56" t="s">
        <v>546</v>
      </c>
      <c r="J16" s="56" t="s">
        <v>134</v>
      </c>
      <c r="K16" s="56" t="s">
        <v>547</v>
      </c>
      <c r="L16" s="56" t="s">
        <v>548</v>
      </c>
      <c r="M16" s="107"/>
      <c r="N16" s="107"/>
    </row>
    <row r="17" spans="1:14" ht="15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</row>
    <row r="18" spans="1:31" ht="16.5">
      <c r="A18" s="111" t="s">
        <v>666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AE18" s="15" t="str">
        <f>CONCATENATE("Локальная смета ",IF(Source!G20&lt;&gt;"Новая локальная смета",Source!G20,""))</f>
        <v>Локальная смета Ремонт кровли фонаря в осях (3-12)(Д-Е); (И-К)</v>
      </c>
    </row>
    <row r="19" spans="1:26" ht="55.5">
      <c r="A19" s="16" t="str">
        <f>IF(Source!E24&lt;&gt;"",Source!E24,"")</f>
        <v>1</v>
      </c>
      <c r="B19" s="16" t="str">
        <f>IF(Source!F24&lt;&gt;"",Source!F24,"")</f>
        <v>46-04-008-4</v>
      </c>
      <c r="C19" s="16" t="s">
        <v>550</v>
      </c>
      <c r="D19" s="17" t="str">
        <f>IF(Source!H24&lt;&gt;"",Source!H24,"")</f>
        <v>100 м2 покрытия</v>
      </c>
      <c r="E19" s="17" t="str">
        <f>IF(Source!J24=0," ",Source!J24)</f>
        <v> </v>
      </c>
      <c r="F19" s="18">
        <f>Source!I24</f>
        <v>0.6</v>
      </c>
      <c r="G19" s="19">
        <f>IF(Source!AB24=0," ",Source!AB24)</f>
        <v>1953.92</v>
      </c>
      <c r="H19" s="20">
        <f>IF(Source!O24=0," ",Source!O24)</f>
        <v>1172</v>
      </c>
      <c r="I19" s="20">
        <f>IF(Source!S24=0," ",Source!S24)</f>
        <v>1098</v>
      </c>
      <c r="J19" s="20">
        <f>IF(Source!Q24=0," ",Source!Q24)</f>
        <v>74</v>
      </c>
      <c r="K19" s="20" t="str">
        <f>IF(Source!R24=0," ",Source!R24)</f>
        <v> </v>
      </c>
      <c r="L19" s="20" t="str">
        <f>IF(Source!P24=0," ",Source!P24)</f>
        <v> </v>
      </c>
      <c r="M19" s="21">
        <f>IF(Source!U24=0," ",ROUND(Source!U24,6))</f>
        <v>9.54</v>
      </c>
      <c r="N19" s="21" t="str">
        <f>IF(Source!V24=0," ",ROUND(Source!V24,6))</f>
        <v> </v>
      </c>
      <c r="T19">
        <f>IF(Source!O24=0," ",Source!O24)</f>
        <v>1172</v>
      </c>
      <c r="U19" t="s">
        <v>549</v>
      </c>
      <c r="V19">
        <f>IF(Source!S24=0," ",Source!S24)</f>
        <v>1098</v>
      </c>
      <c r="W19">
        <f>IF(Source!Q24=0," ",Source!Q24)</f>
        <v>74</v>
      </c>
      <c r="X19" t="str">
        <f>IF(Source!R24=0," ",Source!R24)</f>
        <v> </v>
      </c>
      <c r="Y19">
        <f>IF(Source!U24=0," ",ROUND(Source!U24,6))</f>
        <v>9.54</v>
      </c>
      <c r="Z19" t="str">
        <f>IF(Source!V24=0," ",ROUND(Source!V24,6))</f>
        <v> </v>
      </c>
    </row>
    <row r="20" spans="1:14" ht="15">
      <c r="A20" s="57"/>
      <c r="B20" s="57"/>
      <c r="C20" s="22" t="s">
        <v>154</v>
      </c>
      <c r="D20" s="23" t="str">
        <f>CONCATENATE(Source!AT24," %")</f>
        <v>110 %</v>
      </c>
      <c r="E20" s="23"/>
      <c r="F20" s="23"/>
      <c r="G20" s="23"/>
      <c r="H20" s="24">
        <f>Source!X24</f>
        <v>1208</v>
      </c>
      <c r="I20" s="57"/>
      <c r="J20" s="57"/>
      <c r="K20" s="57"/>
      <c r="L20" s="57"/>
      <c r="M20" s="57"/>
      <c r="N20" s="57"/>
    </row>
    <row r="21" spans="1:14" ht="15">
      <c r="A21" s="57"/>
      <c r="B21" s="57"/>
      <c r="C21" s="22" t="s">
        <v>156</v>
      </c>
      <c r="D21" s="23" t="str">
        <f>CONCATENATE(Source!AU24," %")</f>
        <v>70 %</v>
      </c>
      <c r="E21" s="23"/>
      <c r="F21" s="23"/>
      <c r="G21" s="23"/>
      <c r="H21" s="24">
        <f>Source!Y24</f>
        <v>769</v>
      </c>
      <c r="I21" s="57"/>
      <c r="J21" s="57"/>
      <c r="K21" s="57"/>
      <c r="L21" s="57"/>
      <c r="M21" s="57"/>
      <c r="N21" s="57"/>
    </row>
    <row r="22" spans="1:14" ht="14.25">
      <c r="A22" s="58"/>
      <c r="B22" s="58"/>
      <c r="C22" s="25" t="s">
        <v>551</v>
      </c>
      <c r="D22" s="26"/>
      <c r="E22" s="26"/>
      <c r="F22" s="26"/>
      <c r="G22" s="26"/>
      <c r="H22" s="27">
        <f>SUMIF(Source!AA24:Source!AA24,"=27243028",Source!GM24:Source!GM24)</f>
        <v>3149</v>
      </c>
      <c r="I22" s="58"/>
      <c r="J22" s="58"/>
      <c r="K22" s="58"/>
      <c r="L22" s="58"/>
      <c r="M22" s="58"/>
      <c r="N22" s="58"/>
    </row>
    <row r="23" spans="1:14" ht="15">
      <c r="A23" s="28"/>
      <c r="B23" s="31" t="str">
        <f>SmtRes!I1</f>
        <v>1-1020</v>
      </c>
      <c r="C23" s="31" t="str">
        <f>SmtRes!K1</f>
        <v>Рабочий строитель среднего разряда 2</v>
      </c>
      <c r="D23" s="29" t="str">
        <f>SmtRes!O1</f>
        <v>чел.-ч</v>
      </c>
      <c r="E23" s="29">
        <f>SmtRes!Y1</f>
        <v>15.9</v>
      </c>
      <c r="F23" s="29">
        <f>SmtRes!Y1*Source!I24</f>
        <v>9.54</v>
      </c>
      <c r="G23" s="32">
        <f>(SmtRes!AA1+SmtRes!AB1+SmtRes!AD1)</f>
        <v>115.12</v>
      </c>
      <c r="H23" s="33">
        <f>(SmtRes!AA1*SmtRes!Y1*Source!I24+SmtRes!AB1*SmtRes!Y1*Source!I24+SmtRes!AD1*SmtRes!Y1*Source!I24)</f>
        <v>1098.2448</v>
      </c>
      <c r="I23" s="33">
        <f>SmtRes!AD1*SmtRes!Y1*Source!I24</f>
        <v>1098.2448</v>
      </c>
      <c r="J23" s="29"/>
      <c r="K23" s="29"/>
      <c r="L23" s="29"/>
      <c r="M23" s="29"/>
      <c r="N23" s="30"/>
    </row>
    <row r="24" spans="1:14" ht="30">
      <c r="A24" s="40"/>
      <c r="B24" s="41" t="str">
        <f>SmtRes!I2</f>
        <v>030403</v>
      </c>
      <c r="C24" s="41" t="str">
        <f>SmtRes!K2</f>
        <v>Лебедки электрические тяговым усилием 19,62 кН (2 т)</v>
      </c>
      <c r="D24" s="42" t="str">
        <f>SmtRes!O2</f>
        <v>маш.-ч</v>
      </c>
      <c r="E24" s="42">
        <f>SmtRes!Y2</f>
        <v>4.6</v>
      </c>
      <c r="F24" s="42">
        <f>SmtRes!Y2*Source!I24</f>
        <v>2.76</v>
      </c>
      <c r="G24" s="43">
        <f>(SmtRes!AA2+SmtRes!AB2+SmtRes!AD2)</f>
        <v>26.85</v>
      </c>
      <c r="H24" s="44">
        <f>(SmtRes!AA2*SmtRes!Y2*Source!I24+SmtRes!AB2*SmtRes!Y2*Source!I24+SmtRes!AD2*SmtRes!Y2*Source!I24)</f>
        <v>74.106</v>
      </c>
      <c r="I24" s="42"/>
      <c r="J24" s="44">
        <f>SmtRes!AB2*SmtRes!Y2*Source!I24</f>
        <v>74.106</v>
      </c>
      <c r="K24" s="44">
        <f>SmtRes!AC2*SmtRes!Y2*Source!I24</f>
        <v>0</v>
      </c>
      <c r="L24" s="42"/>
      <c r="M24" s="42"/>
      <c r="N24" s="45"/>
    </row>
    <row r="25" spans="1:26" ht="71.25">
      <c r="A25" s="16" t="str">
        <f>IF(Source!E25&lt;&gt;"",Source!E25,"")</f>
        <v>2</v>
      </c>
      <c r="B25" s="16" t="str">
        <f>IF(Source!F25&lt;&gt;"",Source!F25,"")</f>
        <v>10-01-010-1</v>
      </c>
      <c r="C25" s="16" t="s">
        <v>552</v>
      </c>
      <c r="D25" s="17" t="str">
        <f>IF(Source!H25&lt;&gt;"",Source!H25,"")</f>
        <v>1 м3 древесины в конструкции</v>
      </c>
      <c r="E25" s="17" t="str">
        <f>IF(Source!J25=0," ",Source!J25)</f>
        <v> </v>
      </c>
      <c r="F25" s="18">
        <f>Source!I25</f>
        <v>10.6</v>
      </c>
      <c r="G25" s="19">
        <f>IF(Source!AB25=0," ",Source!AB25)</f>
        <v>2436.09</v>
      </c>
      <c r="H25" s="20">
        <f>IF(Source!O25=0," ",Source!O25)</f>
        <v>25823</v>
      </c>
      <c r="I25" s="20">
        <f>IF(Source!S25=0," ",Source!S25)</f>
        <v>23602</v>
      </c>
      <c r="J25" s="20">
        <f>IF(Source!Q25=0," ",Source!Q25)</f>
        <v>2221</v>
      </c>
      <c r="K25" s="20" t="str">
        <f>IF(Source!R25=0," ",Source!R25)</f>
        <v> </v>
      </c>
      <c r="L25" s="20" t="str">
        <f>IF(Source!P25=0," ",Source!P25)</f>
        <v> </v>
      </c>
      <c r="M25" s="21">
        <f>IF(Source!U25=0," ",ROUND(Source!U25,6))</f>
        <v>190.8</v>
      </c>
      <c r="N25" s="21" t="str">
        <f>IF(Source!V25=0," ",ROUND(Source!V25,6))</f>
        <v> </v>
      </c>
      <c r="T25">
        <f>IF(Source!O25=0," ",Source!O25)</f>
        <v>25823</v>
      </c>
      <c r="U25" t="s">
        <v>549</v>
      </c>
      <c r="V25">
        <f>IF(Source!S25=0," ",Source!S25)</f>
        <v>23602</v>
      </c>
      <c r="W25">
        <f>IF(Source!Q25=0," ",Source!Q25)</f>
        <v>2221</v>
      </c>
      <c r="X25" t="str">
        <f>IF(Source!R25=0," ",Source!R25)</f>
        <v> </v>
      </c>
      <c r="Y25">
        <f>IF(Source!U25=0," ",ROUND(Source!U25,6))</f>
        <v>190.8</v>
      </c>
      <c r="Z25" t="str">
        <f>IF(Source!V25=0," ",ROUND(Source!V25,6))</f>
        <v> </v>
      </c>
    </row>
    <row r="26" spans="1:14" ht="15">
      <c r="A26" s="57"/>
      <c r="B26" s="57"/>
      <c r="C26" s="22" t="s">
        <v>154</v>
      </c>
      <c r="D26" s="23" t="str">
        <f>CONCATENATE(Source!AT25," %")</f>
        <v>118 %</v>
      </c>
      <c r="E26" s="23"/>
      <c r="F26" s="23"/>
      <c r="G26" s="23"/>
      <c r="H26" s="24">
        <f>Source!X25</f>
        <v>27850</v>
      </c>
      <c r="I26" s="57"/>
      <c r="J26" s="57"/>
      <c r="K26" s="57"/>
      <c r="L26" s="57"/>
      <c r="M26" s="57"/>
      <c r="N26" s="57"/>
    </row>
    <row r="27" spans="1:14" ht="15">
      <c r="A27" s="57"/>
      <c r="B27" s="57"/>
      <c r="C27" s="22" t="s">
        <v>156</v>
      </c>
      <c r="D27" s="23" t="str">
        <f>CONCATENATE(Source!AU25," %")</f>
        <v>63 %</v>
      </c>
      <c r="E27" s="23"/>
      <c r="F27" s="23"/>
      <c r="G27" s="23"/>
      <c r="H27" s="24">
        <f>Source!Y25</f>
        <v>14869</v>
      </c>
      <c r="I27" s="57"/>
      <c r="J27" s="57"/>
      <c r="K27" s="57"/>
      <c r="L27" s="57"/>
      <c r="M27" s="57"/>
      <c r="N27" s="57"/>
    </row>
    <row r="28" spans="1:14" ht="14.25">
      <c r="A28" s="58"/>
      <c r="B28" s="58"/>
      <c r="C28" s="25" t="s">
        <v>551</v>
      </c>
      <c r="D28" s="26"/>
      <c r="E28" s="26"/>
      <c r="F28" s="26"/>
      <c r="G28" s="26"/>
      <c r="H28" s="27">
        <f>SUMIF(Source!AA25:Source!AA25,"=27243028",Source!GM25:Source!GM25)</f>
        <v>68542</v>
      </c>
      <c r="I28" s="58"/>
      <c r="J28" s="58"/>
      <c r="K28" s="58"/>
      <c r="L28" s="58"/>
      <c r="M28" s="58"/>
      <c r="N28" s="58"/>
    </row>
    <row r="29" spans="1:14" ht="43.5">
      <c r="A29" s="28"/>
      <c r="B29" s="31" t="str">
        <f>SmtRes!I3</f>
        <v>1-1028</v>
      </c>
      <c r="C29" s="31" t="s">
        <v>553</v>
      </c>
      <c r="D29" s="29" t="str">
        <f>SmtRes!O3</f>
        <v>чел.-ч</v>
      </c>
      <c r="E29" s="29">
        <f>SmtRes!Y3</f>
        <v>18</v>
      </c>
      <c r="F29" s="29">
        <f>SmtRes!Y3*Source!I25</f>
        <v>190.79999999999998</v>
      </c>
      <c r="G29" s="32">
        <f>(SmtRes!AA3+SmtRes!AB3+SmtRes!AD3)</f>
        <v>123.7</v>
      </c>
      <c r="H29" s="33">
        <f>(SmtRes!AA3*SmtRes!Y3*Source!I25+SmtRes!AB3*SmtRes!Y3*Source!I25+SmtRes!AD3*SmtRes!Y3*Source!I25)</f>
        <v>23601.96</v>
      </c>
      <c r="I29" s="33">
        <f>SmtRes!AD3*SmtRes!Y3*Source!I25</f>
        <v>23601.96</v>
      </c>
      <c r="J29" s="29"/>
      <c r="K29" s="29"/>
      <c r="L29" s="29"/>
      <c r="M29" s="29"/>
      <c r="N29" s="30"/>
    </row>
    <row r="30" spans="1:14" ht="28.5">
      <c r="A30" s="34"/>
      <c r="B30" s="37" t="str">
        <f>SmtRes!I4</f>
        <v>330206</v>
      </c>
      <c r="C30" s="37" t="s">
        <v>554</v>
      </c>
      <c r="D30" s="35" t="str">
        <f>SmtRes!O4</f>
        <v>маш.-ч</v>
      </c>
      <c r="E30" s="35">
        <f>SmtRes!Y4</f>
        <v>0.18400000000000002</v>
      </c>
      <c r="F30" s="35">
        <f>SmtRes!Y4*Source!I25</f>
        <v>1.9504000000000001</v>
      </c>
      <c r="G30" s="38">
        <f>(SmtRes!AA4+SmtRes!AB4+SmtRes!AD4)</f>
        <v>7.94</v>
      </c>
      <c r="H30" s="39">
        <f>(SmtRes!AA4*SmtRes!Y4*Source!I25+SmtRes!AB4*SmtRes!Y4*Source!I25+SmtRes!AD4*SmtRes!Y4*Source!I25)</f>
        <v>15.486176000000002</v>
      </c>
      <c r="I30" s="35"/>
      <c r="J30" s="39">
        <f>SmtRes!AB4*SmtRes!Y4*Source!I25</f>
        <v>15.486176000000002</v>
      </c>
      <c r="K30" s="39">
        <f>SmtRes!AC4*SmtRes!Y4*Source!I25</f>
        <v>0</v>
      </c>
      <c r="L30" s="35"/>
      <c r="M30" s="35"/>
      <c r="N30" s="36"/>
    </row>
    <row r="31" spans="1:14" ht="28.5">
      <c r="A31" s="34"/>
      <c r="B31" s="37" t="str">
        <f>SmtRes!I5</f>
        <v>331601</v>
      </c>
      <c r="C31" s="37" t="s">
        <v>555</v>
      </c>
      <c r="D31" s="35" t="str">
        <f>SmtRes!O5</f>
        <v>маш.-ч</v>
      </c>
      <c r="E31" s="35">
        <f>SmtRes!Y5</f>
        <v>0.264</v>
      </c>
      <c r="F31" s="35">
        <f>SmtRes!Y5*Source!I25</f>
        <v>2.7984</v>
      </c>
      <c r="G31" s="38">
        <f>(SmtRes!AA5+SmtRes!AB5+SmtRes!AD5)</f>
        <v>26.17</v>
      </c>
      <c r="H31" s="39">
        <f>(SmtRes!AA5*SmtRes!Y5*Source!I25+SmtRes!AB5*SmtRes!Y5*Source!I25+SmtRes!AD5*SmtRes!Y5*Source!I25)</f>
        <v>73.23412800000001</v>
      </c>
      <c r="I31" s="35"/>
      <c r="J31" s="39">
        <f>SmtRes!AB5*SmtRes!Y5*Source!I25</f>
        <v>73.23412800000001</v>
      </c>
      <c r="K31" s="39">
        <f>SmtRes!AC5*SmtRes!Y5*Source!I25</f>
        <v>0</v>
      </c>
      <c r="L31" s="35"/>
      <c r="M31" s="35"/>
      <c r="N31" s="36"/>
    </row>
    <row r="32" spans="1:14" ht="43.5">
      <c r="A32" s="40"/>
      <c r="B32" s="41" t="str">
        <f>SmtRes!I6</f>
        <v>400001</v>
      </c>
      <c r="C32" s="41" t="s">
        <v>556</v>
      </c>
      <c r="D32" s="42" t="str">
        <f>SmtRes!O6</f>
        <v>маш.-ч</v>
      </c>
      <c r="E32" s="42">
        <f>SmtRes!Y6</f>
        <v>0.288</v>
      </c>
      <c r="F32" s="42">
        <f>SmtRes!Y6*Source!I25</f>
        <v>3.0527999999999995</v>
      </c>
      <c r="G32" s="43">
        <f>(SmtRes!AA6+SmtRes!AB6+SmtRes!AD6)</f>
        <v>698.33</v>
      </c>
      <c r="H32" s="44">
        <f>(SmtRes!AA6*SmtRes!Y6*Source!I25+SmtRes!AB6*SmtRes!Y6*Source!I25+SmtRes!AD6*SmtRes!Y6*Source!I25)</f>
        <v>2131.8618239999996</v>
      </c>
      <c r="I32" s="42"/>
      <c r="J32" s="44">
        <f>SmtRes!AB6*SmtRes!Y6*Source!I25</f>
        <v>2131.8618239999996</v>
      </c>
      <c r="K32" s="44">
        <f>SmtRes!AC6*SmtRes!Y6*Source!I25</f>
        <v>0</v>
      </c>
      <c r="L32" s="42"/>
      <c r="M32" s="42"/>
      <c r="N32" s="45"/>
    </row>
    <row r="33" spans="1:26" ht="68.25">
      <c r="A33" s="16" t="str">
        <f>IF(Source!E26&lt;&gt;"",Source!E26,"")</f>
        <v>3</v>
      </c>
      <c r="B33" s="16" t="str">
        <f>IF(Source!F26&lt;&gt;"",Source!F26,"")</f>
        <v>09-04-002-1</v>
      </c>
      <c r="C33" s="16" t="s">
        <v>557</v>
      </c>
      <c r="D33" s="17" t="str">
        <f>IF(Source!H26&lt;&gt;"",Source!H26,"")</f>
        <v>100 м2 покрытия</v>
      </c>
      <c r="E33" s="17" t="str">
        <f>IF(Source!J26=0," ",Source!J26)</f>
        <v> </v>
      </c>
      <c r="F33" s="18">
        <f>Source!I26</f>
        <v>0.628</v>
      </c>
      <c r="G33" s="19">
        <f>IF(Source!AB26=0," ",Source!AB26)</f>
        <v>36216.57</v>
      </c>
      <c r="H33" s="20">
        <f>IF(Source!O26=0," ",Source!O26)</f>
        <v>22744</v>
      </c>
      <c r="I33" s="20">
        <f>IF(Source!S26=0," ",Source!S26)</f>
        <v>3305</v>
      </c>
      <c r="J33" s="20">
        <f>IF(Source!Q26=0," ",Source!Q26)</f>
        <v>2057</v>
      </c>
      <c r="K33" s="20" t="str">
        <f>IF(Source!R26=0," ",Source!R26)</f>
        <v> </v>
      </c>
      <c r="L33" s="20">
        <f>IF(Source!P26=0," ",Source!P26)</f>
        <v>17382</v>
      </c>
      <c r="M33" s="21">
        <f>IF(Source!U26=0," ",ROUND(Source!U26,6))</f>
        <v>25.6381</v>
      </c>
      <c r="N33" s="21">
        <f>IF(Source!V26=0," ",ROUND(Source!V26,6))</f>
        <v>2.04885</v>
      </c>
      <c r="T33">
        <f>IF(Source!O26=0," ",Source!O26)</f>
        <v>22744</v>
      </c>
      <c r="U33">
        <v>17382</v>
      </c>
      <c r="V33">
        <f>IF(Source!S26=0," ",Source!S26)</f>
        <v>3305</v>
      </c>
      <c r="W33">
        <f>IF(Source!Q26=0," ",Source!Q26)</f>
        <v>2057</v>
      </c>
      <c r="X33" t="str">
        <f>IF(Source!R26=0," ",Source!R26)</f>
        <v> </v>
      </c>
      <c r="Y33">
        <f>IF(Source!U26=0," ",ROUND(Source!U26,6))</f>
        <v>25.6381</v>
      </c>
      <c r="Z33">
        <f>IF(Source!V26=0," ",ROUND(Source!V26,6))</f>
        <v>2.04885</v>
      </c>
    </row>
    <row r="34" spans="1:14" ht="15">
      <c r="A34" s="57"/>
      <c r="B34" s="57"/>
      <c r="C34" s="22" t="s">
        <v>154</v>
      </c>
      <c r="D34" s="23" t="str">
        <f>CONCATENATE(Source!AT26," %")</f>
        <v>81 %</v>
      </c>
      <c r="E34" s="23"/>
      <c r="F34" s="23"/>
      <c r="G34" s="23"/>
      <c r="H34" s="24">
        <f>Source!X26</f>
        <v>2677</v>
      </c>
      <c r="I34" s="57"/>
      <c r="J34" s="57"/>
      <c r="K34" s="57"/>
      <c r="L34" s="57"/>
      <c r="M34" s="57"/>
      <c r="N34" s="57"/>
    </row>
    <row r="35" spans="1:14" ht="15">
      <c r="A35" s="57"/>
      <c r="B35" s="57"/>
      <c r="C35" s="22" t="s">
        <v>156</v>
      </c>
      <c r="D35" s="23" t="str">
        <f>CONCATENATE(Source!AU26," %")</f>
        <v>72,25 %</v>
      </c>
      <c r="E35" s="23"/>
      <c r="F35" s="23"/>
      <c r="G35" s="23"/>
      <c r="H35" s="24">
        <f>Source!Y26</f>
        <v>2388</v>
      </c>
      <c r="I35" s="57"/>
      <c r="J35" s="57"/>
      <c r="K35" s="57"/>
      <c r="L35" s="57"/>
      <c r="M35" s="57"/>
      <c r="N35" s="57"/>
    </row>
    <row r="36" spans="1:14" ht="14.25">
      <c r="A36" s="58"/>
      <c r="B36" s="58"/>
      <c r="C36" s="25" t="s">
        <v>551</v>
      </c>
      <c r="D36" s="26"/>
      <c r="E36" s="26"/>
      <c r="F36" s="26"/>
      <c r="G36" s="26"/>
      <c r="H36" s="27">
        <f>SUMIF(Source!AA26:Source!AA26,"=27243028",Source!GM26:Source!GM26)</f>
        <v>27809</v>
      </c>
      <c r="I36" s="58"/>
      <c r="J36" s="58"/>
      <c r="K36" s="58"/>
      <c r="L36" s="58"/>
      <c r="M36" s="58"/>
      <c r="N36" s="58"/>
    </row>
    <row r="37" spans="1:14" ht="43.5">
      <c r="A37" s="28"/>
      <c r="B37" s="31" t="str">
        <f>SmtRes!I7</f>
        <v>1-1032</v>
      </c>
      <c r="C37" s="31" t="s">
        <v>558</v>
      </c>
      <c r="D37" s="29" t="str">
        <f>SmtRes!O7</f>
        <v>чел.-ч</v>
      </c>
      <c r="E37" s="29">
        <f>SmtRes!Y7</f>
        <v>40.824999999999996</v>
      </c>
      <c r="F37" s="29">
        <f>SmtRes!Y7*Source!I26</f>
        <v>25.638099999999998</v>
      </c>
      <c r="G37" s="32">
        <f>(SmtRes!AA7+SmtRes!AB7+SmtRes!AD7)</f>
        <v>128.9</v>
      </c>
      <c r="H37" s="33">
        <f>(SmtRes!AA7*SmtRes!Y7*Source!I26+SmtRes!AB7*SmtRes!Y7*Source!I26+SmtRes!AD7*SmtRes!Y7*Source!I26)</f>
        <v>3304.7510899999997</v>
      </c>
      <c r="I37" s="33">
        <f>SmtRes!AD7*SmtRes!Y7*Source!I26</f>
        <v>3304.7510899999997</v>
      </c>
      <c r="J37" s="29"/>
      <c r="K37" s="29"/>
      <c r="L37" s="29"/>
      <c r="M37" s="29"/>
      <c r="N37" s="30"/>
    </row>
    <row r="38" spans="1:14" ht="28.5">
      <c r="A38" s="34"/>
      <c r="B38" s="37" t="str">
        <f>SmtRes!I8</f>
        <v>2</v>
      </c>
      <c r="C38" s="37" t="s">
        <v>559</v>
      </c>
      <c r="D38" s="35" t="str">
        <f>SmtRes!O8</f>
        <v>чел.час</v>
      </c>
      <c r="E38" s="35">
        <f>SmtRes!Y8</f>
        <v>3.2624999999999997</v>
      </c>
      <c r="F38" s="35">
        <f>SmtRes!Y8*Source!I26</f>
        <v>2.04885</v>
      </c>
      <c r="G38" s="38">
        <f>(SmtRes!AA8+SmtRes!AB8+SmtRes!AD8)</f>
        <v>0</v>
      </c>
      <c r="H38" s="39">
        <f>(SmtRes!AA8*SmtRes!Y8*Source!I26+SmtRes!AB8*SmtRes!Y8*Source!I26+SmtRes!AD8*SmtRes!Y8*Source!I26)</f>
        <v>0</v>
      </c>
      <c r="I38" s="35"/>
      <c r="J38" s="35"/>
      <c r="K38" s="39">
        <f>SmtRes!AC8*SmtRes!Y8*Source!I26</f>
        <v>0</v>
      </c>
      <c r="L38" s="35"/>
      <c r="M38" s="35"/>
      <c r="N38" s="36"/>
    </row>
    <row r="39" spans="1:14" ht="58.5">
      <c r="A39" s="34"/>
      <c r="B39" s="37" t="str">
        <f>SmtRes!I9</f>
        <v>020403</v>
      </c>
      <c r="C39" s="37" t="s">
        <v>560</v>
      </c>
      <c r="D39" s="35" t="str">
        <f>SmtRes!O9</f>
        <v>маш.-ч</v>
      </c>
      <c r="E39" s="35">
        <f>SmtRes!Y9</f>
        <v>0.05</v>
      </c>
      <c r="F39" s="35">
        <f>SmtRes!Y9*Source!I26</f>
        <v>0.031400000000000004</v>
      </c>
      <c r="G39" s="38">
        <f>(SmtRes!AA9+SmtRes!AB9+SmtRes!AD9)</f>
        <v>723.53</v>
      </c>
      <c r="H39" s="39">
        <f>(SmtRes!AA9*SmtRes!Y9*Source!I26+SmtRes!AB9*SmtRes!Y9*Source!I26+SmtRes!AD9*SmtRes!Y9*Source!I26)</f>
        <v>22.718842</v>
      </c>
      <c r="I39" s="35"/>
      <c r="J39" s="39">
        <f>SmtRes!AB9*SmtRes!Y9*Source!I26</f>
        <v>22.718842</v>
      </c>
      <c r="K39" s="39">
        <f>SmtRes!AC9*SmtRes!Y9*Source!I26</f>
        <v>0</v>
      </c>
      <c r="L39" s="35"/>
      <c r="M39" s="35"/>
      <c r="N39" s="36"/>
    </row>
    <row r="40" spans="1:14" ht="58.5">
      <c r="A40" s="34"/>
      <c r="B40" s="37" t="str">
        <f>SmtRes!I10</f>
        <v>021141</v>
      </c>
      <c r="C40" s="37" t="s">
        <v>561</v>
      </c>
      <c r="D40" s="35" t="str">
        <f>SmtRes!O10</f>
        <v>маш.-ч</v>
      </c>
      <c r="E40" s="35">
        <f>SmtRes!Y10</f>
        <v>0.2625</v>
      </c>
      <c r="F40" s="35">
        <f>SmtRes!Y10*Source!I26</f>
        <v>0.16485</v>
      </c>
      <c r="G40" s="38">
        <f>(SmtRes!AA10+SmtRes!AB10+SmtRes!AD10)</f>
        <v>636.03</v>
      </c>
      <c r="H40" s="39">
        <f>(SmtRes!AA10*SmtRes!Y10*Source!I26+SmtRes!AB10*SmtRes!Y10*Source!I26+SmtRes!AD10*SmtRes!Y10*Source!I26)</f>
        <v>104.8495455</v>
      </c>
      <c r="I40" s="35"/>
      <c r="J40" s="39">
        <f>SmtRes!AB10*SmtRes!Y10*Source!I26</f>
        <v>104.8495455</v>
      </c>
      <c r="K40" s="39">
        <f>SmtRes!AC10*SmtRes!Y10*Source!I26</f>
        <v>0</v>
      </c>
      <c r="L40" s="35"/>
      <c r="M40" s="35"/>
      <c r="N40" s="36"/>
    </row>
    <row r="41" spans="1:14" ht="43.5">
      <c r="A41" s="34"/>
      <c r="B41" s="37" t="str">
        <f>SmtRes!I11</f>
        <v>021245</v>
      </c>
      <c r="C41" s="37" t="s">
        <v>562</v>
      </c>
      <c r="D41" s="35" t="str">
        <f>SmtRes!O11</f>
        <v>маш.-ч</v>
      </c>
      <c r="E41" s="35">
        <f>SmtRes!Y11</f>
        <v>2.9499999999999997</v>
      </c>
      <c r="F41" s="35">
        <f>SmtRes!Y11*Source!I26</f>
        <v>1.8525999999999998</v>
      </c>
      <c r="G41" s="38">
        <f>(SmtRes!AA11+SmtRes!AB11+SmtRes!AD11)</f>
        <v>923.13</v>
      </c>
      <c r="H41" s="39">
        <f>(SmtRes!AA11*SmtRes!Y11*Source!I26+SmtRes!AB11*SmtRes!Y11*Source!I26+SmtRes!AD11*SmtRes!Y11*Source!I26)</f>
        <v>1710.1906379999998</v>
      </c>
      <c r="I41" s="35"/>
      <c r="J41" s="39">
        <f>SmtRes!AB11*SmtRes!Y11*Source!I26</f>
        <v>1710.1906379999998</v>
      </c>
      <c r="K41" s="39">
        <f>SmtRes!AC11*SmtRes!Y11*Source!I26</f>
        <v>0</v>
      </c>
      <c r="L41" s="35"/>
      <c r="M41" s="35"/>
      <c r="N41" s="36"/>
    </row>
    <row r="42" spans="1:14" ht="43.5">
      <c r="A42" s="34"/>
      <c r="B42" s="37" t="str">
        <f>SmtRes!I12</f>
        <v>030203</v>
      </c>
      <c r="C42" s="37" t="s">
        <v>563</v>
      </c>
      <c r="D42" s="35" t="str">
        <f>SmtRes!O12</f>
        <v>маш.-ч</v>
      </c>
      <c r="E42" s="35">
        <f>SmtRes!Y12</f>
        <v>1.2375</v>
      </c>
      <c r="F42" s="35">
        <f>SmtRes!Y12*Source!I26</f>
        <v>0.77715</v>
      </c>
      <c r="G42" s="38">
        <f>(SmtRes!AA12+SmtRes!AB12+SmtRes!AD12)</f>
        <v>8.44</v>
      </c>
      <c r="H42" s="39">
        <f>(SmtRes!AA12*SmtRes!Y12*Source!I26+SmtRes!AB12*SmtRes!Y12*Source!I26+SmtRes!AD12*SmtRes!Y12*Source!I26)</f>
        <v>6.559146</v>
      </c>
      <c r="I42" s="35"/>
      <c r="J42" s="39">
        <f>SmtRes!AB12*SmtRes!Y12*Source!I26</f>
        <v>6.559146</v>
      </c>
      <c r="K42" s="39">
        <f>SmtRes!AC12*SmtRes!Y12*Source!I26</f>
        <v>0</v>
      </c>
      <c r="L42" s="35"/>
      <c r="M42" s="35"/>
      <c r="N42" s="36"/>
    </row>
    <row r="43" spans="1:14" ht="28.5">
      <c r="A43" s="34"/>
      <c r="B43" s="37" t="str">
        <f>SmtRes!I13</f>
        <v>040504</v>
      </c>
      <c r="C43" s="37" t="s">
        <v>564</v>
      </c>
      <c r="D43" s="35" t="str">
        <f>SmtRes!O13</f>
        <v>маш.-ч</v>
      </c>
      <c r="E43" s="35">
        <f>SmtRes!Y13</f>
        <v>2.1</v>
      </c>
      <c r="F43" s="35">
        <f>SmtRes!Y13*Source!I26</f>
        <v>1.3188</v>
      </c>
      <c r="G43" s="38">
        <f>(SmtRes!AA13+SmtRes!AB13+SmtRes!AD13)</f>
        <v>5.98</v>
      </c>
      <c r="H43" s="39">
        <f>(SmtRes!AA13*SmtRes!Y13*Source!I26+SmtRes!AB13*SmtRes!Y13*Source!I26+SmtRes!AD13*SmtRes!Y13*Source!I26)</f>
        <v>7.886424000000001</v>
      </c>
      <c r="I43" s="35"/>
      <c r="J43" s="39">
        <f>SmtRes!AB13*SmtRes!Y13*Source!I26</f>
        <v>7.886424000000001</v>
      </c>
      <c r="K43" s="39">
        <f>SmtRes!AC13*SmtRes!Y13*Source!I26</f>
        <v>0</v>
      </c>
      <c r="L43" s="35"/>
      <c r="M43" s="35"/>
      <c r="N43" s="36"/>
    </row>
    <row r="44" spans="1:14" ht="58.5">
      <c r="A44" s="34"/>
      <c r="B44" s="37" t="str">
        <f>SmtRes!I14</f>
        <v>041000</v>
      </c>
      <c r="C44" s="37" t="s">
        <v>565</v>
      </c>
      <c r="D44" s="35" t="str">
        <f>SmtRes!O14</f>
        <v>маш.-ч</v>
      </c>
      <c r="E44" s="35">
        <f>SmtRes!Y14</f>
        <v>0.22499999999999998</v>
      </c>
      <c r="F44" s="35">
        <f>SmtRes!Y14*Source!I26</f>
        <v>0.14129999999999998</v>
      </c>
      <c r="G44" s="38">
        <f>(SmtRes!AA14+SmtRes!AB14+SmtRes!AD14)</f>
        <v>96.21</v>
      </c>
      <c r="H44" s="39">
        <f>(SmtRes!AA14*SmtRes!Y14*Source!I26+SmtRes!AB14*SmtRes!Y14*Source!I26+SmtRes!AD14*SmtRes!Y14*Source!I26)</f>
        <v>13.594472999999997</v>
      </c>
      <c r="I44" s="35"/>
      <c r="J44" s="39">
        <f>SmtRes!AB14*SmtRes!Y14*Source!I26</f>
        <v>13.594472999999997</v>
      </c>
      <c r="K44" s="39">
        <f>SmtRes!AC14*SmtRes!Y14*Source!I26</f>
        <v>0</v>
      </c>
      <c r="L44" s="35"/>
      <c r="M44" s="35"/>
      <c r="N44" s="36"/>
    </row>
    <row r="45" spans="1:14" ht="73.5">
      <c r="A45" s="34"/>
      <c r="B45" s="37" t="str">
        <f>SmtRes!I15</f>
        <v>041400</v>
      </c>
      <c r="C45" s="37" t="s">
        <v>566</v>
      </c>
      <c r="D45" s="35" t="str">
        <f>SmtRes!O15</f>
        <v>маш.-ч</v>
      </c>
      <c r="E45" s="35">
        <f>SmtRes!Y15</f>
        <v>0.025</v>
      </c>
      <c r="F45" s="35">
        <f>SmtRes!Y15*Source!I26</f>
        <v>0.015700000000000002</v>
      </c>
      <c r="G45" s="38">
        <f>(SmtRes!AA15+SmtRes!AB15+SmtRes!AD15)</f>
        <v>59.49</v>
      </c>
      <c r="H45" s="39">
        <f>(SmtRes!AA15*SmtRes!Y15*Source!I26+SmtRes!AB15*SmtRes!Y15*Source!I26+SmtRes!AD15*SmtRes!Y15*Source!I26)</f>
        <v>0.9339930000000001</v>
      </c>
      <c r="I45" s="35"/>
      <c r="J45" s="39">
        <f>SmtRes!AB15*SmtRes!Y15*Source!I26</f>
        <v>0.9339930000000001</v>
      </c>
      <c r="K45" s="39">
        <f>SmtRes!AC15*SmtRes!Y15*Source!I26</f>
        <v>0</v>
      </c>
      <c r="L45" s="35"/>
      <c r="M45" s="35"/>
      <c r="N45" s="36"/>
    </row>
    <row r="46" spans="1:14" ht="28.5">
      <c r="A46" s="34"/>
      <c r="B46" s="37" t="str">
        <f>SmtRes!I16</f>
        <v>330206</v>
      </c>
      <c r="C46" s="37" t="s">
        <v>567</v>
      </c>
      <c r="D46" s="35" t="str">
        <f>SmtRes!O16</f>
        <v>маш.-ч</v>
      </c>
      <c r="E46" s="35">
        <f>SmtRes!Y16</f>
        <v>3.0125</v>
      </c>
      <c r="F46" s="35">
        <f>SmtRes!Y16*Source!I26</f>
        <v>1.89185</v>
      </c>
      <c r="G46" s="38">
        <f>(SmtRes!AA16+SmtRes!AB16+SmtRes!AD16)</f>
        <v>7.94</v>
      </c>
      <c r="H46" s="39">
        <f>(SmtRes!AA16*SmtRes!Y16*Source!I26+SmtRes!AB16*SmtRes!Y16*Source!I26+SmtRes!AD16*SmtRes!Y16*Source!I26)</f>
        <v>15.021289000000001</v>
      </c>
      <c r="I46" s="35"/>
      <c r="J46" s="39">
        <f>SmtRes!AB16*SmtRes!Y16*Source!I26</f>
        <v>15.021289000000001</v>
      </c>
      <c r="K46" s="39">
        <f>SmtRes!AC16*SmtRes!Y16*Source!I26</f>
        <v>0</v>
      </c>
      <c r="L46" s="35"/>
      <c r="M46" s="35"/>
      <c r="N46" s="36"/>
    </row>
    <row r="47" spans="1:14" ht="43.5">
      <c r="A47" s="34"/>
      <c r="B47" s="37" t="str">
        <f>SmtRes!I17</f>
        <v>400001</v>
      </c>
      <c r="C47" s="37" t="s">
        <v>568</v>
      </c>
      <c r="D47" s="35" t="str">
        <f>SmtRes!O17</f>
        <v>маш.-ч</v>
      </c>
      <c r="E47" s="35">
        <f>SmtRes!Y17</f>
        <v>0.4</v>
      </c>
      <c r="F47" s="35">
        <f>SmtRes!Y17*Source!I26</f>
        <v>0.25120000000000003</v>
      </c>
      <c r="G47" s="38">
        <f>(SmtRes!AA17+SmtRes!AB17+SmtRes!AD17)</f>
        <v>698.33</v>
      </c>
      <c r="H47" s="39">
        <f>(SmtRes!AA17*SmtRes!Y17*Source!I26+SmtRes!AB17*SmtRes!Y17*Source!I26+SmtRes!AD17*SmtRes!Y17*Source!I26)</f>
        <v>175.42049600000004</v>
      </c>
      <c r="I47" s="35"/>
      <c r="J47" s="39">
        <f>SmtRes!AB17*SmtRes!Y17*Source!I26</f>
        <v>175.42049600000004</v>
      </c>
      <c r="K47" s="39">
        <f>SmtRes!AC17*SmtRes!Y17*Source!I26</f>
        <v>0</v>
      </c>
      <c r="L47" s="35"/>
      <c r="M47" s="35"/>
      <c r="N47" s="36"/>
    </row>
    <row r="48" spans="1:14" ht="15">
      <c r="A48" s="34"/>
      <c r="B48" s="37" t="str">
        <f>SmtRes!I18</f>
        <v>101-0324</v>
      </c>
      <c r="C48" s="37" t="str">
        <f>SmtRes!K18</f>
        <v>Кислород технический газообразный</v>
      </c>
      <c r="D48" s="35" t="str">
        <f>SmtRes!O18</f>
        <v>м3</v>
      </c>
      <c r="E48" s="35">
        <f>SmtRes!Y18</f>
        <v>1.4</v>
      </c>
      <c r="F48" s="35">
        <f>SmtRes!Y18*Source!I26</f>
        <v>0.8792</v>
      </c>
      <c r="G48" s="38">
        <f>(SmtRes!AA18+SmtRes!AB18+SmtRes!AD18)</f>
        <v>43</v>
      </c>
      <c r="H48" s="39">
        <f>(SmtRes!AA18*SmtRes!Y18*Source!I26+SmtRes!AB18*SmtRes!Y18*Source!I26+SmtRes!AD18*SmtRes!Y18*Source!I26)</f>
        <v>37.8056</v>
      </c>
      <c r="I48" s="35"/>
      <c r="J48" s="35"/>
      <c r="K48" s="35"/>
      <c r="L48" s="39">
        <f>SmtRes!AA18*SmtRes!Y18*Source!I26</f>
        <v>37.8056</v>
      </c>
      <c r="M48" s="35"/>
      <c r="N48" s="36"/>
    </row>
    <row r="49" spans="1:14" ht="30">
      <c r="A49" s="34"/>
      <c r="B49" s="37" t="str">
        <f>SmtRes!I19</f>
        <v>101-0797</v>
      </c>
      <c r="C49" s="37" t="str">
        <f>SmtRes!K19</f>
        <v>Проволока горячекатаная в мотках, диаметром 6,3-6,5 мм</v>
      </c>
      <c r="D49" s="35" t="str">
        <f>SmtRes!O19</f>
        <v>т</v>
      </c>
      <c r="E49" s="35">
        <f>SmtRes!Y19</f>
        <v>4E-05</v>
      </c>
      <c r="F49" s="35">
        <f>SmtRes!Y19*Source!I26</f>
        <v>2.5120000000000003E-05</v>
      </c>
      <c r="G49" s="38">
        <f>(SmtRes!AA19+SmtRes!AB19+SmtRes!AD19)</f>
        <v>68136</v>
      </c>
      <c r="H49" s="39">
        <f>(SmtRes!AA19*SmtRes!Y19*Source!I26+SmtRes!AB19*SmtRes!Y19*Source!I26+SmtRes!AD19*SmtRes!Y19*Source!I26)</f>
        <v>1.7115763200000003</v>
      </c>
      <c r="I49" s="35"/>
      <c r="J49" s="35"/>
      <c r="K49" s="35"/>
      <c r="L49" s="39">
        <f>SmtRes!AA19*SmtRes!Y19*Source!I26</f>
        <v>1.7115763200000003</v>
      </c>
      <c r="M49" s="35"/>
      <c r="N49" s="36"/>
    </row>
    <row r="50" spans="1:14" ht="15">
      <c r="A50" s="34"/>
      <c r="B50" s="37" t="str">
        <f>SmtRes!I20</f>
        <v>101-1513</v>
      </c>
      <c r="C50" s="37" t="str">
        <f>SmtRes!K20</f>
        <v>Электроды диаметром 4 мм Э42</v>
      </c>
      <c r="D50" s="35" t="str">
        <f>SmtRes!O20</f>
        <v>т</v>
      </c>
      <c r="E50" s="35">
        <f>SmtRes!Y20</f>
        <v>0.00061</v>
      </c>
      <c r="F50" s="35">
        <f>SmtRes!Y20*Source!I26</f>
        <v>0.00038308</v>
      </c>
      <c r="G50" s="38">
        <f>(SmtRes!AA20+SmtRes!AB20+SmtRes!AD20)</f>
        <v>73728.6</v>
      </c>
      <c r="H50" s="39">
        <f>(SmtRes!AA20*SmtRes!Y20*Source!I26+SmtRes!AB20*SmtRes!Y20*Source!I26+SmtRes!AD20*SmtRes!Y20*Source!I26)</f>
        <v>28.243952088</v>
      </c>
      <c r="I50" s="35"/>
      <c r="J50" s="35"/>
      <c r="K50" s="35"/>
      <c r="L50" s="39">
        <f>SmtRes!AA20*SmtRes!Y20*Source!I26</f>
        <v>28.243952088</v>
      </c>
      <c r="M50" s="35"/>
      <c r="N50" s="36"/>
    </row>
    <row r="51" spans="1:14" ht="30">
      <c r="A51" s="34"/>
      <c r="B51" s="37" t="str">
        <f>SmtRes!I21</f>
        <v>101-1714</v>
      </c>
      <c r="C51" s="37" t="str">
        <f>SmtRes!K21</f>
        <v>Болты с гайками и шайбами строительные</v>
      </c>
      <c r="D51" s="35" t="str">
        <f>SmtRes!O21</f>
        <v>т</v>
      </c>
      <c r="E51" s="35">
        <f>SmtRes!Y21</f>
        <v>0.0022</v>
      </c>
      <c r="F51" s="35">
        <f>SmtRes!Y21*Source!I26</f>
        <v>0.0013816000000000002</v>
      </c>
      <c r="G51" s="38">
        <f>(SmtRes!AA21+SmtRes!AB21+SmtRes!AD21)</f>
        <v>98305.08</v>
      </c>
      <c r="H51" s="39">
        <f>(SmtRes!AA21*SmtRes!Y21*Source!I26+SmtRes!AB21*SmtRes!Y21*Source!I26+SmtRes!AD21*SmtRes!Y21*Source!I26)</f>
        <v>135.818298528</v>
      </c>
      <c r="I51" s="35"/>
      <c r="J51" s="35"/>
      <c r="K51" s="35"/>
      <c r="L51" s="39">
        <f>SmtRes!AA21*SmtRes!Y21*Source!I26</f>
        <v>135.818298528</v>
      </c>
      <c r="M51" s="35"/>
      <c r="N51" s="36"/>
    </row>
    <row r="52" spans="1:14" ht="15">
      <c r="A52" s="34"/>
      <c r="B52" s="37" t="str">
        <f>SmtRes!I22</f>
        <v>101-2278</v>
      </c>
      <c r="C52" s="37" t="str">
        <f>SmtRes!K22</f>
        <v>Пропан-бутан, смесь техническая</v>
      </c>
      <c r="D52" s="35" t="str">
        <f>SmtRes!O22</f>
        <v>кг</v>
      </c>
      <c r="E52" s="35">
        <f>SmtRes!Y22</f>
        <v>0.42</v>
      </c>
      <c r="F52" s="35">
        <f>SmtRes!Y22*Source!I26</f>
        <v>0.26376</v>
      </c>
      <c r="G52" s="38">
        <f>(SmtRes!AA22+SmtRes!AB22+SmtRes!AD22)</f>
        <v>35</v>
      </c>
      <c r="H52" s="39">
        <f>(SmtRes!AA22*SmtRes!Y22*Source!I26+SmtRes!AB22*SmtRes!Y22*Source!I26+SmtRes!AD22*SmtRes!Y22*Source!I26)</f>
        <v>9.2316</v>
      </c>
      <c r="I52" s="35"/>
      <c r="J52" s="35"/>
      <c r="K52" s="35"/>
      <c r="L52" s="39">
        <f>SmtRes!AA22*SmtRes!Y22*Source!I26</f>
        <v>9.2316</v>
      </c>
      <c r="M52" s="35"/>
      <c r="N52" s="36"/>
    </row>
    <row r="53" spans="1:14" ht="15">
      <c r="A53" s="34"/>
      <c r="B53" s="37" t="str">
        <f>SmtRes!I23</f>
        <v>101-2467</v>
      </c>
      <c r="C53" s="37" t="str">
        <f>SmtRes!K23</f>
        <v>Растворитель марки Р-4</v>
      </c>
      <c r="D53" s="35" t="str">
        <f>SmtRes!O23</f>
        <v>т</v>
      </c>
      <c r="E53" s="35">
        <f>SmtRes!Y23</f>
        <v>9E-05</v>
      </c>
      <c r="F53" s="35">
        <f>SmtRes!Y23*Source!I26</f>
        <v>5.652E-05</v>
      </c>
      <c r="G53" s="38">
        <f>(SmtRes!AA23+SmtRes!AB23+SmtRes!AD23)</f>
        <v>132200</v>
      </c>
      <c r="H53" s="39">
        <f>(SmtRes!AA23*SmtRes!Y23*Source!I26+SmtRes!AB23*SmtRes!Y23*Source!I26+SmtRes!AD23*SmtRes!Y23*Source!I26)</f>
        <v>7.471944000000001</v>
      </c>
      <c r="I53" s="35"/>
      <c r="J53" s="35"/>
      <c r="K53" s="35"/>
      <c r="L53" s="39">
        <f>SmtRes!AA23*SmtRes!Y23*Source!I26</f>
        <v>7.471944000000001</v>
      </c>
      <c r="M53" s="35"/>
      <c r="N53" s="36"/>
    </row>
    <row r="54" spans="1:14" ht="30">
      <c r="A54" s="34"/>
      <c r="B54" s="37" t="str">
        <f>SmtRes!I24</f>
        <v>101-9910</v>
      </c>
      <c r="C54" s="37" t="str">
        <f>SmtRes!K24</f>
        <v>Стальной гнутый профиль (профилированный настил)</v>
      </c>
      <c r="D54" s="35" t="str">
        <f>SmtRes!O24</f>
        <v>м2</v>
      </c>
      <c r="E54" s="35">
        <f>SmtRes!Y24</f>
        <v>115</v>
      </c>
      <c r="F54" s="35">
        <f>SmtRes!Y24*Source!I26</f>
        <v>72.22</v>
      </c>
      <c r="G54" s="38">
        <f>(SmtRes!AA24+SmtRes!AB24+SmtRes!AD24)</f>
        <v>237.29</v>
      </c>
      <c r="H54" s="39">
        <f>(SmtRes!AA24*SmtRes!Y24*Source!I26+SmtRes!AB24*SmtRes!Y24*Source!I26+SmtRes!AD24*SmtRes!Y24*Source!I26)</f>
        <v>17137.0838</v>
      </c>
      <c r="I54" s="35"/>
      <c r="J54" s="35"/>
      <c r="K54" s="35"/>
      <c r="L54" s="39">
        <f>SmtRes!AA24*SmtRes!Y24*Source!I26</f>
        <v>17137.0838</v>
      </c>
      <c r="M54" s="35"/>
      <c r="N54" s="36"/>
    </row>
    <row r="55" spans="1:14" ht="45">
      <c r="A55" s="34"/>
      <c r="B55" s="37" t="str">
        <f>SmtRes!I25</f>
        <v>102-0023</v>
      </c>
      <c r="C55" s="37" t="str">
        <f>SmtRes!K25</f>
        <v>Бруски обрезные хвойных пород длиной 4-6,5 м, шириной 75-150 мм, толщиной 40-75 мм, I сорта</v>
      </c>
      <c r="D55" s="35" t="str">
        <f>SmtRes!O25</f>
        <v>м3</v>
      </c>
      <c r="E55" s="35">
        <f>SmtRes!Y25</f>
        <v>0.0013</v>
      </c>
      <c r="F55" s="35">
        <f>SmtRes!Y25*Source!I26</f>
        <v>0.0008164</v>
      </c>
      <c r="G55" s="38">
        <f>(SmtRes!AA25+SmtRes!AB25+SmtRes!AD25)</f>
        <v>5762.71</v>
      </c>
      <c r="H55" s="39">
        <f>(SmtRes!AA25*SmtRes!Y25*Source!I26+SmtRes!AB25*SmtRes!Y25*Source!I26+SmtRes!AD25*SmtRes!Y25*Source!I26)</f>
        <v>4.704676444</v>
      </c>
      <c r="I55" s="35"/>
      <c r="J55" s="35"/>
      <c r="K55" s="35"/>
      <c r="L55" s="39">
        <f>SmtRes!AA25*SmtRes!Y25*Source!I26</f>
        <v>4.704676444</v>
      </c>
      <c r="M55" s="35"/>
      <c r="N55" s="36"/>
    </row>
    <row r="56" spans="1:14" ht="15">
      <c r="A56" s="40"/>
      <c r="B56" s="41" t="str">
        <f>SmtRes!I26</f>
        <v>113-0021</v>
      </c>
      <c r="C56" s="41" t="str">
        <f>SmtRes!K26</f>
        <v>Грунтовка ГФ-021 красно-коричневая</v>
      </c>
      <c r="D56" s="42" t="str">
        <f>SmtRes!O26</f>
        <v>т</v>
      </c>
      <c r="E56" s="42">
        <f>SmtRes!Y26</f>
        <v>0.00047</v>
      </c>
      <c r="F56" s="42">
        <f>SmtRes!Y26*Source!I26</f>
        <v>0.00029516</v>
      </c>
      <c r="G56" s="43">
        <f>(SmtRes!AA26+SmtRes!AB26+SmtRes!AD26)</f>
        <v>67779.66</v>
      </c>
      <c r="H56" s="44">
        <f>(SmtRes!AA26*SmtRes!Y26*Source!I26+SmtRes!AB26*SmtRes!Y26*Source!I26+SmtRes!AD26*SmtRes!Y26*Source!I26)</f>
        <v>20.0058444456</v>
      </c>
      <c r="I56" s="42"/>
      <c r="J56" s="42"/>
      <c r="K56" s="42"/>
      <c r="L56" s="44">
        <f>SmtRes!AA26*SmtRes!Y26*Source!I26</f>
        <v>20.0058444456</v>
      </c>
      <c r="M56" s="42"/>
      <c r="N56" s="45"/>
    </row>
    <row r="57" spans="1:26" ht="54">
      <c r="A57" s="16" t="str">
        <f>IF(Source!E27&lt;&gt;"",Source!E27,"")</f>
        <v>4</v>
      </c>
      <c r="B57" s="16" t="str">
        <f>IF(Source!F27&lt;&gt;"",Source!F27,"")</f>
        <v>09-05-006-1</v>
      </c>
      <c r="C57" s="16" t="s">
        <v>569</v>
      </c>
      <c r="D57" s="17" t="str">
        <f>IF(Source!H27&lt;&gt;"",Source!H27,"")</f>
        <v>1 м реза</v>
      </c>
      <c r="E57" s="17" t="str">
        <f>IF(Source!J27=0," ",Source!J27)</f>
        <v> </v>
      </c>
      <c r="F57" s="18">
        <f>Source!I27</f>
        <v>12</v>
      </c>
      <c r="G57" s="19">
        <f>IF(Source!AB27=0," ",Source!AB27)</f>
        <v>55.6</v>
      </c>
      <c r="H57" s="20">
        <f>IF(Source!O27=0," ",Source!O27)</f>
        <v>667</v>
      </c>
      <c r="I57" s="20">
        <f>IF(Source!S27=0," ",Source!S27)</f>
        <v>621</v>
      </c>
      <c r="J57" s="20">
        <f>IF(Source!Q27=0," ",Source!Q27)</f>
        <v>46</v>
      </c>
      <c r="K57" s="20" t="str">
        <f>IF(Source!R27=0," ",Source!R27)</f>
        <v> </v>
      </c>
      <c r="L57" s="20" t="str">
        <f>IF(Source!P27=0," ",Source!P27)</f>
        <v> </v>
      </c>
      <c r="M57" s="21">
        <f>IF(Source!U27=0," ",ROUND(Source!U27,6))</f>
        <v>4.692</v>
      </c>
      <c r="N57" s="21" t="str">
        <f>IF(Source!V27=0," ",ROUND(Source!V27,6))</f>
        <v> </v>
      </c>
      <c r="T57">
        <f>IF(Source!O27=0," ",Source!O27)</f>
        <v>667</v>
      </c>
      <c r="U57" t="s">
        <v>549</v>
      </c>
      <c r="V57">
        <f>IF(Source!S27=0," ",Source!S27)</f>
        <v>621</v>
      </c>
      <c r="W57">
        <f>IF(Source!Q27=0," ",Source!Q27)</f>
        <v>46</v>
      </c>
      <c r="X57" t="str">
        <f>IF(Source!R27=0," ",Source!R27)</f>
        <v> </v>
      </c>
      <c r="Y57">
        <f>IF(Source!U27=0," ",ROUND(Source!U27,6))</f>
        <v>4.692</v>
      </c>
      <c r="Z57" t="str">
        <f>IF(Source!V27=0," ",ROUND(Source!V27,6))</f>
        <v> </v>
      </c>
    </row>
    <row r="58" spans="1:14" ht="15">
      <c r="A58" s="57"/>
      <c r="B58" s="57"/>
      <c r="C58" s="22" t="s">
        <v>154</v>
      </c>
      <c r="D58" s="23" t="str">
        <f>CONCATENATE(Source!AT27," %")</f>
        <v>81 %</v>
      </c>
      <c r="E58" s="23"/>
      <c r="F58" s="23"/>
      <c r="G58" s="23"/>
      <c r="H58" s="24">
        <f>Source!X27</f>
        <v>503</v>
      </c>
      <c r="I58" s="57"/>
      <c r="J58" s="57"/>
      <c r="K58" s="57"/>
      <c r="L58" s="57"/>
      <c r="M58" s="57"/>
      <c r="N58" s="57"/>
    </row>
    <row r="59" spans="1:14" ht="15">
      <c r="A59" s="57"/>
      <c r="B59" s="57"/>
      <c r="C59" s="22" t="s">
        <v>156</v>
      </c>
      <c r="D59" s="23" t="str">
        <f>CONCATENATE(Source!AU27," %")</f>
        <v>72,25 %</v>
      </c>
      <c r="E59" s="23"/>
      <c r="F59" s="23"/>
      <c r="G59" s="23"/>
      <c r="H59" s="24">
        <f>Source!Y27</f>
        <v>449</v>
      </c>
      <c r="I59" s="57"/>
      <c r="J59" s="57"/>
      <c r="K59" s="57"/>
      <c r="L59" s="57"/>
      <c r="M59" s="57"/>
      <c r="N59" s="57"/>
    </row>
    <row r="60" spans="1:14" ht="14.25">
      <c r="A60" s="58"/>
      <c r="B60" s="58"/>
      <c r="C60" s="25" t="s">
        <v>551</v>
      </c>
      <c r="D60" s="26"/>
      <c r="E60" s="26"/>
      <c r="F60" s="26"/>
      <c r="G60" s="26"/>
      <c r="H60" s="27">
        <f>SUMIF(Source!AA27:Source!AA27,"=27243028",Source!GM27:Source!GM27)</f>
        <v>1619</v>
      </c>
      <c r="I60" s="58"/>
      <c r="J60" s="58"/>
      <c r="K60" s="58"/>
      <c r="L60" s="58"/>
      <c r="M60" s="58"/>
      <c r="N60" s="58"/>
    </row>
    <row r="61" spans="1:14" ht="43.5">
      <c r="A61" s="28"/>
      <c r="B61" s="31" t="str">
        <f>SmtRes!I27</f>
        <v>1-1034</v>
      </c>
      <c r="C61" s="31" t="s">
        <v>570</v>
      </c>
      <c r="D61" s="29" t="str">
        <f>SmtRes!O27</f>
        <v>чел.-ч</v>
      </c>
      <c r="E61" s="29">
        <f>SmtRes!Y27</f>
        <v>0.391</v>
      </c>
      <c r="F61" s="29">
        <f>SmtRes!Y27*Source!I27</f>
        <v>4.692</v>
      </c>
      <c r="G61" s="32">
        <f>(SmtRes!AA27+SmtRes!AB27+SmtRes!AD27)</f>
        <v>132.29</v>
      </c>
      <c r="H61" s="33">
        <f>(SmtRes!AA27*SmtRes!Y27*Source!I27+SmtRes!AB27*SmtRes!Y27*Source!I27+SmtRes!AD27*SmtRes!Y27*Source!I27)</f>
        <v>620.7046799999999</v>
      </c>
      <c r="I61" s="33">
        <f>SmtRes!AD27*SmtRes!Y27*Source!I27</f>
        <v>620.7046799999999</v>
      </c>
      <c r="J61" s="29"/>
      <c r="K61" s="29"/>
      <c r="L61" s="29"/>
      <c r="M61" s="29"/>
      <c r="N61" s="30"/>
    </row>
    <row r="62" spans="1:14" ht="28.5">
      <c r="A62" s="40"/>
      <c r="B62" s="41" t="str">
        <f>SmtRes!I28</f>
        <v>330302</v>
      </c>
      <c r="C62" s="41" t="s">
        <v>571</v>
      </c>
      <c r="D62" s="42" t="str">
        <f>SmtRes!O28</f>
        <v>маш.-ч</v>
      </c>
      <c r="E62" s="42">
        <f>SmtRes!Y28</f>
        <v>0.3875</v>
      </c>
      <c r="F62" s="42">
        <f>SmtRes!Y28*Source!I27</f>
        <v>4.65</v>
      </c>
      <c r="G62" s="43">
        <f>(SmtRes!AA28+SmtRes!AB28+SmtRes!AD28)</f>
        <v>9.98</v>
      </c>
      <c r="H62" s="44">
        <f>(SmtRes!AA28*SmtRes!Y28*Source!I27+SmtRes!AB28*SmtRes!Y28*Source!I27+SmtRes!AD28*SmtRes!Y28*Source!I27)</f>
        <v>46.407000000000004</v>
      </c>
      <c r="I62" s="42"/>
      <c r="J62" s="44">
        <f>SmtRes!AB28*SmtRes!Y28*Source!I27</f>
        <v>46.407000000000004</v>
      </c>
      <c r="K62" s="44">
        <f>SmtRes!AC28*SmtRes!Y28*Source!I27</f>
        <v>0</v>
      </c>
      <c r="L62" s="42"/>
      <c r="M62" s="42"/>
      <c r="N62" s="45"/>
    </row>
    <row r="63" spans="1:26" ht="71.25">
      <c r="A63" s="16" t="str">
        <f>IF(Source!E28&lt;&gt;"",Source!E28,"")</f>
        <v>5</v>
      </c>
      <c r="B63" s="16" t="str">
        <f>IF(Source!F28&lt;&gt;"",Source!F28,"")</f>
        <v>12-01-015-1</v>
      </c>
      <c r="C63" s="16" t="s">
        <v>572</v>
      </c>
      <c r="D63" s="17" t="str">
        <f>IF(Source!H28&lt;&gt;"",Source!H28,"")</f>
        <v>100 м2 изолируемой поверхности</v>
      </c>
      <c r="E63" s="17" t="str">
        <f>IF(Source!J28=0," ",Source!J28)</f>
        <v> </v>
      </c>
      <c r="F63" s="18">
        <f>Source!I28</f>
        <v>0.628</v>
      </c>
      <c r="G63" s="19">
        <f>IF(Source!AB28=0," ",Source!AB28)</f>
        <v>27650.81</v>
      </c>
      <c r="H63" s="20">
        <f>IF(Source!O28=0," ",Source!O28)</f>
        <v>17365</v>
      </c>
      <c r="I63" s="20">
        <f>IF(Source!S28=0," ",Source!S28)</f>
        <v>1755</v>
      </c>
      <c r="J63" s="20">
        <f>IF(Source!Q28=0," ",Source!Q28)</f>
        <v>377</v>
      </c>
      <c r="K63" s="20" t="str">
        <f>IF(Source!R28=0," ",Source!R28)</f>
        <v> </v>
      </c>
      <c r="L63" s="20">
        <f>IF(Source!P28=0," ",Source!P28)</f>
        <v>15233</v>
      </c>
      <c r="M63" s="21">
        <f>IF(Source!U28=0," ",ROUND(Source!U28,6))</f>
        <v>12.645722</v>
      </c>
      <c r="N63" s="21">
        <f>IF(Source!V28=0," ",ROUND(Source!V28,6))</f>
        <v>0.1413</v>
      </c>
      <c r="T63">
        <f>IF(Source!O28=0," ",Source!O28)</f>
        <v>17365</v>
      </c>
      <c r="U63">
        <v>15233</v>
      </c>
      <c r="V63">
        <f>IF(Source!S28=0," ",Source!S28)</f>
        <v>1755</v>
      </c>
      <c r="W63">
        <f>IF(Source!Q28=0," ",Source!Q28)</f>
        <v>377</v>
      </c>
      <c r="X63" t="str">
        <f>IF(Source!R28=0," ",Source!R28)</f>
        <v> </v>
      </c>
      <c r="Y63">
        <f>IF(Source!U28=0," ",ROUND(Source!U28,6))</f>
        <v>12.645722</v>
      </c>
      <c r="Z63">
        <f>IF(Source!V28=0," ",ROUND(Source!V28,6))</f>
        <v>0.1413</v>
      </c>
    </row>
    <row r="64" spans="1:14" ht="15">
      <c r="A64" s="57"/>
      <c r="B64" s="57"/>
      <c r="C64" s="22" t="s">
        <v>154</v>
      </c>
      <c r="D64" s="23" t="str">
        <f>CONCATENATE(Source!AT28," %")</f>
        <v>108 %</v>
      </c>
      <c r="E64" s="23"/>
      <c r="F64" s="23"/>
      <c r="G64" s="23"/>
      <c r="H64" s="24">
        <f>Source!X28</f>
        <v>1895</v>
      </c>
      <c r="I64" s="57"/>
      <c r="J64" s="57"/>
      <c r="K64" s="57"/>
      <c r="L64" s="57"/>
      <c r="M64" s="57"/>
      <c r="N64" s="57"/>
    </row>
    <row r="65" spans="1:14" ht="15">
      <c r="A65" s="57"/>
      <c r="B65" s="57"/>
      <c r="C65" s="22" t="s">
        <v>156</v>
      </c>
      <c r="D65" s="23" t="str">
        <f>CONCATENATE(Source!AU28," %")</f>
        <v>55,25 %</v>
      </c>
      <c r="E65" s="23"/>
      <c r="F65" s="23"/>
      <c r="G65" s="23"/>
      <c r="H65" s="24">
        <f>Source!Y28</f>
        <v>970</v>
      </c>
      <c r="I65" s="57"/>
      <c r="J65" s="57"/>
      <c r="K65" s="57"/>
      <c r="L65" s="57"/>
      <c r="M65" s="57"/>
      <c r="N65" s="57"/>
    </row>
    <row r="66" spans="1:14" ht="14.25">
      <c r="A66" s="58"/>
      <c r="B66" s="58"/>
      <c r="C66" s="25" t="s">
        <v>551</v>
      </c>
      <c r="D66" s="26"/>
      <c r="E66" s="26"/>
      <c r="F66" s="26"/>
      <c r="G66" s="26"/>
      <c r="H66" s="27">
        <f>SUMIF(Source!AA28:Source!AA28,"=27243028",Source!GM28:Source!GM28)</f>
        <v>20230</v>
      </c>
      <c r="I66" s="58"/>
      <c r="J66" s="58"/>
      <c r="K66" s="58"/>
      <c r="L66" s="58"/>
      <c r="M66" s="58"/>
      <c r="N66" s="58"/>
    </row>
    <row r="67" spans="1:14" ht="43.5">
      <c r="A67" s="28"/>
      <c r="B67" s="31" t="str">
        <f>SmtRes!I29</f>
        <v>1-1038</v>
      </c>
      <c r="C67" s="31" t="s">
        <v>573</v>
      </c>
      <c r="D67" s="29" t="str">
        <f>SmtRes!O29</f>
        <v>чел.-ч</v>
      </c>
      <c r="E67" s="29">
        <f>SmtRes!Y29</f>
        <v>20.1365</v>
      </c>
      <c r="F67" s="29">
        <f>SmtRes!Y29*Source!I28</f>
        <v>12.645722000000001</v>
      </c>
      <c r="G67" s="32">
        <f>(SmtRes!AA29+SmtRes!AB29+SmtRes!AD29)</f>
        <v>138.75</v>
      </c>
      <c r="H67" s="33">
        <f>(SmtRes!AA29*SmtRes!Y29*Source!I28+SmtRes!AB29*SmtRes!Y29*Source!I28+SmtRes!AD29*SmtRes!Y29*Source!I28)</f>
        <v>1754.5939275000003</v>
      </c>
      <c r="I67" s="33">
        <f>SmtRes!AD29*SmtRes!Y29*Source!I28</f>
        <v>1754.5939275000003</v>
      </c>
      <c r="J67" s="29"/>
      <c r="K67" s="29"/>
      <c r="L67" s="29"/>
      <c r="M67" s="29"/>
      <c r="N67" s="30"/>
    </row>
    <row r="68" spans="1:14" ht="28.5">
      <c r="A68" s="34"/>
      <c r="B68" s="37" t="str">
        <f>SmtRes!I30</f>
        <v>2</v>
      </c>
      <c r="C68" s="37" t="s">
        <v>559</v>
      </c>
      <c r="D68" s="35" t="str">
        <f>SmtRes!O30</f>
        <v>чел.час</v>
      </c>
      <c r="E68" s="35">
        <f>SmtRes!Y30</f>
        <v>0.22499999999999998</v>
      </c>
      <c r="F68" s="35">
        <f>SmtRes!Y30*Source!I28</f>
        <v>0.14129999999999998</v>
      </c>
      <c r="G68" s="38">
        <f>(SmtRes!AA30+SmtRes!AB30+SmtRes!AD30)</f>
        <v>0</v>
      </c>
      <c r="H68" s="39">
        <f>(SmtRes!AA30*SmtRes!Y30*Source!I28+SmtRes!AB30*SmtRes!Y30*Source!I28+SmtRes!AD30*SmtRes!Y30*Source!I28)</f>
        <v>0</v>
      </c>
      <c r="I68" s="35"/>
      <c r="J68" s="35"/>
      <c r="K68" s="39">
        <f>SmtRes!AC30*SmtRes!Y30*Source!I28</f>
        <v>0</v>
      </c>
      <c r="L68" s="35"/>
      <c r="M68" s="35"/>
      <c r="N68" s="36"/>
    </row>
    <row r="69" spans="1:14" ht="43.5">
      <c r="A69" s="34"/>
      <c r="B69" s="37" t="str">
        <f>SmtRes!I31</f>
        <v>020129</v>
      </c>
      <c r="C69" s="37" t="s">
        <v>574</v>
      </c>
      <c r="D69" s="35" t="str">
        <f>SmtRes!O31</f>
        <v>маш.-ч</v>
      </c>
      <c r="E69" s="35">
        <f>SmtRes!Y31</f>
        <v>0.1375</v>
      </c>
      <c r="F69" s="35">
        <f>SmtRes!Y31*Source!I28</f>
        <v>0.08635000000000001</v>
      </c>
      <c r="G69" s="38">
        <f>(SmtRes!AA31+SmtRes!AB31+SmtRes!AD31)</f>
        <v>849.15</v>
      </c>
      <c r="H69" s="39">
        <f>(SmtRes!AA31*SmtRes!Y31*Source!I28+SmtRes!AB31*SmtRes!Y31*Source!I28+SmtRes!AD31*SmtRes!Y31*Source!I28)</f>
        <v>73.32410250000001</v>
      </c>
      <c r="I69" s="35"/>
      <c r="J69" s="39">
        <f>SmtRes!AB31*SmtRes!Y31*Source!I28</f>
        <v>73.32410250000001</v>
      </c>
      <c r="K69" s="39">
        <f>SmtRes!AC31*SmtRes!Y31*Source!I28</f>
        <v>0</v>
      </c>
      <c r="L69" s="35"/>
      <c r="M69" s="35"/>
      <c r="N69" s="36"/>
    </row>
    <row r="70" spans="1:14" ht="58.5">
      <c r="A70" s="34"/>
      <c r="B70" s="37" t="str">
        <f>SmtRes!I32</f>
        <v>021141</v>
      </c>
      <c r="C70" s="37" t="s">
        <v>561</v>
      </c>
      <c r="D70" s="35" t="str">
        <f>SmtRes!O32</f>
        <v>маш.-ч</v>
      </c>
      <c r="E70" s="35">
        <f>SmtRes!Y32</f>
        <v>0.08750000000000001</v>
      </c>
      <c r="F70" s="35">
        <f>SmtRes!Y32*Source!I28</f>
        <v>0.054950000000000006</v>
      </c>
      <c r="G70" s="38">
        <f>(SmtRes!AA32+SmtRes!AB32+SmtRes!AD32)</f>
        <v>636.03</v>
      </c>
      <c r="H70" s="39">
        <f>(SmtRes!AA32*SmtRes!Y32*Source!I28+SmtRes!AB32*SmtRes!Y32*Source!I28+SmtRes!AD32*SmtRes!Y32*Source!I28)</f>
        <v>34.9498485</v>
      </c>
      <c r="I70" s="35"/>
      <c r="J70" s="39">
        <f>SmtRes!AB32*SmtRes!Y32*Source!I28</f>
        <v>34.9498485</v>
      </c>
      <c r="K70" s="39">
        <f>SmtRes!AC32*SmtRes!Y32*Source!I28</f>
        <v>0</v>
      </c>
      <c r="L70" s="35"/>
      <c r="M70" s="35"/>
      <c r="N70" s="36"/>
    </row>
    <row r="71" spans="1:14" ht="28.5">
      <c r="A71" s="34"/>
      <c r="B71" s="37" t="str">
        <f>SmtRes!I33</f>
        <v>121011</v>
      </c>
      <c r="C71" s="37" t="s">
        <v>575</v>
      </c>
      <c r="D71" s="35" t="str">
        <f>SmtRes!O33</f>
        <v>маш.-ч</v>
      </c>
      <c r="E71" s="35">
        <f>SmtRes!Y33</f>
        <v>2.2625</v>
      </c>
      <c r="F71" s="35">
        <f>SmtRes!Y33*Source!I28</f>
        <v>1.4208500000000002</v>
      </c>
      <c r="G71" s="38">
        <f>(SmtRes!AA33+SmtRes!AB33+SmtRes!AD33)</f>
        <v>150.67</v>
      </c>
      <c r="H71" s="39">
        <f>(SmtRes!AA33*SmtRes!Y33*Source!I28+SmtRes!AB33*SmtRes!Y33*Source!I28+SmtRes!AD33*SmtRes!Y33*Source!I28)</f>
        <v>214.0794695</v>
      </c>
      <c r="I71" s="35"/>
      <c r="J71" s="39">
        <f>SmtRes!AB33*SmtRes!Y33*Source!I28</f>
        <v>214.0794695</v>
      </c>
      <c r="K71" s="39">
        <f>SmtRes!AC33*SmtRes!Y33*Source!I28</f>
        <v>0</v>
      </c>
      <c r="L71" s="35"/>
      <c r="M71" s="35"/>
      <c r="N71" s="36"/>
    </row>
    <row r="72" spans="1:14" ht="43.5">
      <c r="A72" s="34"/>
      <c r="B72" s="37" t="str">
        <f>SmtRes!I34</f>
        <v>400001</v>
      </c>
      <c r="C72" s="37" t="s">
        <v>568</v>
      </c>
      <c r="D72" s="35" t="str">
        <f>SmtRes!O34</f>
        <v>маш.-ч</v>
      </c>
      <c r="E72" s="35">
        <f>SmtRes!Y34</f>
        <v>0.125</v>
      </c>
      <c r="F72" s="35">
        <f>SmtRes!Y34*Source!I28</f>
        <v>0.0785</v>
      </c>
      <c r="G72" s="38">
        <f>(SmtRes!AA34+SmtRes!AB34+SmtRes!AD34)</f>
        <v>698.33</v>
      </c>
      <c r="H72" s="39">
        <f>(SmtRes!AA34*SmtRes!Y34*Source!I28+SmtRes!AB34*SmtRes!Y34*Source!I28+SmtRes!AD34*SmtRes!Y34*Source!I28)</f>
        <v>54.818905</v>
      </c>
      <c r="I72" s="35"/>
      <c r="J72" s="39">
        <f>SmtRes!AB34*SmtRes!Y34*Source!I28</f>
        <v>54.818905</v>
      </c>
      <c r="K72" s="39">
        <f>SmtRes!AC34*SmtRes!Y34*Source!I28</f>
        <v>0</v>
      </c>
      <c r="L72" s="35"/>
      <c r="M72" s="35"/>
      <c r="N72" s="36"/>
    </row>
    <row r="73" spans="1:14" ht="15">
      <c r="A73" s="34"/>
      <c r="B73" s="37" t="str">
        <f>SmtRes!I35</f>
        <v>101-0594</v>
      </c>
      <c r="C73" s="37" t="str">
        <f>SmtRes!K35</f>
        <v>Мастика</v>
      </c>
      <c r="D73" s="35" t="str">
        <f>SmtRes!O35</f>
        <v>т</v>
      </c>
      <c r="E73" s="35">
        <f>SmtRes!Y35</f>
        <v>0.196</v>
      </c>
      <c r="F73" s="35">
        <f>SmtRes!Y35*Source!I28</f>
        <v>0.123088</v>
      </c>
      <c r="G73" s="38">
        <f>(SmtRes!AA35+SmtRes!AB35+SmtRes!AD35)</f>
        <v>88135.59</v>
      </c>
      <c r="H73" s="39">
        <f>(SmtRes!AA35*SmtRes!Y35*Source!I28+SmtRes!AB35*SmtRes!Y35*Source!I28+SmtRes!AD35*SmtRes!Y35*Source!I28)</f>
        <v>10848.433501919999</v>
      </c>
      <c r="I73" s="35"/>
      <c r="J73" s="35"/>
      <c r="K73" s="35"/>
      <c r="L73" s="39">
        <f>SmtRes!AA35*SmtRes!Y35*Source!I28</f>
        <v>10848.433501919999</v>
      </c>
      <c r="M73" s="35"/>
      <c r="N73" s="36"/>
    </row>
    <row r="74" spans="1:14" ht="15">
      <c r="A74" s="40"/>
      <c r="B74" s="41" t="str">
        <f>SmtRes!I36</f>
        <v>101-0856</v>
      </c>
      <c r="C74" s="41" t="str">
        <f>SmtRes!K36</f>
        <v>Пленка полиэтиленовая</v>
      </c>
      <c r="D74" s="42" t="str">
        <f>SmtRes!O36</f>
        <v>м2</v>
      </c>
      <c r="E74" s="42">
        <f>SmtRes!Y36</f>
        <v>110</v>
      </c>
      <c r="F74" s="42">
        <f>SmtRes!Y36*Source!I28</f>
        <v>69.08</v>
      </c>
      <c r="G74" s="43">
        <f>(SmtRes!AA36+SmtRes!AB36+SmtRes!AD36)</f>
        <v>63.47</v>
      </c>
      <c r="H74" s="44">
        <f>(SmtRes!AA36*SmtRes!Y36*Source!I28+SmtRes!AB36*SmtRes!Y36*Source!I28+SmtRes!AD36*SmtRes!Y36*Source!I28)</f>
        <v>4384.5076</v>
      </c>
      <c r="I74" s="42"/>
      <c r="J74" s="42"/>
      <c r="K74" s="42"/>
      <c r="L74" s="44">
        <f>SmtRes!AA36*SmtRes!Y36*Source!I28</f>
        <v>4384.5076</v>
      </c>
      <c r="M74" s="42"/>
      <c r="N74" s="45"/>
    </row>
    <row r="75" spans="1:26" ht="68.25">
      <c r="A75" s="16" t="str">
        <f>IF(Source!E29&lt;&gt;"",Source!E29,"")</f>
        <v>6</v>
      </c>
      <c r="B75" s="16" t="str">
        <f>IF(Source!F29&lt;&gt;"",Source!F29,"")</f>
        <v>12-01-013-3</v>
      </c>
      <c r="C75" s="16" t="s">
        <v>576</v>
      </c>
      <c r="D75" s="17" t="str">
        <f>IF(Source!H29&lt;&gt;"",Source!H29,"")</f>
        <v>100 м2 утепляемого покрытия</v>
      </c>
      <c r="E75" s="17" t="str">
        <f>IF(Source!J29=0," ",Source!J29)</f>
        <v> </v>
      </c>
      <c r="F75" s="18">
        <f>Source!I29</f>
        <v>1.64</v>
      </c>
      <c r="G75" s="19">
        <f>IF(Source!AB29=0," ",Source!AB29)</f>
        <v>34260.36</v>
      </c>
      <c r="H75" s="20">
        <f>IF(Source!O29=0," ",Source!O29)</f>
        <v>56187</v>
      </c>
      <c r="I75" s="20">
        <f>IF(Source!S29=0," ",Source!S29)</f>
        <v>12045</v>
      </c>
      <c r="J75" s="20">
        <f>IF(Source!Q29=0," ",Source!Q29)</f>
        <v>1271</v>
      </c>
      <c r="K75" s="20" t="str">
        <f>IF(Source!R29=0," ",Source!R29)</f>
        <v> </v>
      </c>
      <c r="L75" s="20">
        <f>IF(Source!P29=0," ",Source!P29)</f>
        <v>42871</v>
      </c>
      <c r="M75" s="21">
        <f>IF(Source!U29=0," ",ROUND(Source!U29,6))</f>
        <v>85.88844</v>
      </c>
      <c r="N75" s="21">
        <f>IF(Source!V29=0," ",ROUND(Source!V29,6))</f>
        <v>1.1275</v>
      </c>
      <c r="T75">
        <f>IF(Source!O29=0," ",Source!O29)</f>
        <v>56187</v>
      </c>
      <c r="U75">
        <v>42871</v>
      </c>
      <c r="V75">
        <f>IF(Source!S29=0," ",Source!S29)</f>
        <v>12045</v>
      </c>
      <c r="W75">
        <f>IF(Source!Q29=0," ",Source!Q29)</f>
        <v>1271</v>
      </c>
      <c r="X75" t="str">
        <f>IF(Source!R29=0," ",Source!R29)</f>
        <v> </v>
      </c>
      <c r="Y75">
        <f>IF(Source!U29=0," ",ROUND(Source!U29,6))</f>
        <v>85.88844</v>
      </c>
      <c r="Z75">
        <f>IF(Source!V29=0," ",ROUND(Source!V29,6))</f>
        <v>1.1275</v>
      </c>
    </row>
    <row r="76" spans="1:14" ht="15">
      <c r="A76" s="57"/>
      <c r="B76" s="57"/>
      <c r="C76" s="22" t="s">
        <v>154</v>
      </c>
      <c r="D76" s="23" t="str">
        <f>CONCATENATE(Source!AT29," %")</f>
        <v>108 %</v>
      </c>
      <c r="E76" s="23"/>
      <c r="F76" s="23"/>
      <c r="G76" s="23"/>
      <c r="H76" s="24">
        <f>Source!X29</f>
        <v>13009</v>
      </c>
      <c r="I76" s="57"/>
      <c r="J76" s="57"/>
      <c r="K76" s="57"/>
      <c r="L76" s="57"/>
      <c r="M76" s="57"/>
      <c r="N76" s="57"/>
    </row>
    <row r="77" spans="1:14" ht="15">
      <c r="A77" s="57"/>
      <c r="B77" s="57"/>
      <c r="C77" s="22" t="s">
        <v>156</v>
      </c>
      <c r="D77" s="23" t="str">
        <f>CONCATENATE(Source!AU29," %")</f>
        <v>55,25 %</v>
      </c>
      <c r="E77" s="23"/>
      <c r="F77" s="23"/>
      <c r="G77" s="23"/>
      <c r="H77" s="24">
        <f>Source!Y29</f>
        <v>6655</v>
      </c>
      <c r="I77" s="57"/>
      <c r="J77" s="57"/>
      <c r="K77" s="57"/>
      <c r="L77" s="57"/>
      <c r="M77" s="57"/>
      <c r="N77" s="57"/>
    </row>
    <row r="78" spans="1:14" ht="14.25">
      <c r="A78" s="58"/>
      <c r="B78" s="58"/>
      <c r="C78" s="25" t="s">
        <v>551</v>
      </c>
      <c r="D78" s="26"/>
      <c r="E78" s="26"/>
      <c r="F78" s="26"/>
      <c r="G78" s="26"/>
      <c r="H78" s="27">
        <f>SUMIF(Source!AA29:Source!AA29,"=27243028",Source!GM29:Source!GM29)</f>
        <v>75851</v>
      </c>
      <c r="I78" s="58"/>
      <c r="J78" s="58"/>
      <c r="K78" s="58"/>
      <c r="L78" s="58"/>
      <c r="M78" s="58"/>
      <c r="N78" s="58"/>
    </row>
    <row r="79" spans="1:14" ht="43.5">
      <c r="A79" s="28"/>
      <c r="B79" s="31" t="str">
        <f>SmtRes!I37</f>
        <v>1-1039</v>
      </c>
      <c r="C79" s="31" t="s">
        <v>577</v>
      </c>
      <c r="D79" s="29" t="str">
        <f>SmtRes!O37</f>
        <v>чел.-ч</v>
      </c>
      <c r="E79" s="29">
        <f>SmtRes!Y37</f>
        <v>52.370999999999995</v>
      </c>
      <c r="F79" s="29">
        <f>SmtRes!Y37*Source!I29</f>
        <v>85.88843999999999</v>
      </c>
      <c r="G79" s="32">
        <f>(SmtRes!AA37+SmtRes!AB37+SmtRes!AD37)</f>
        <v>140.24</v>
      </c>
      <c r="H79" s="33">
        <f>(SmtRes!AA37*SmtRes!Y37*Source!I29+SmtRes!AB37*SmtRes!Y37*Source!I29+SmtRes!AD37*SmtRes!Y37*Source!I29)</f>
        <v>12044.994825599999</v>
      </c>
      <c r="I79" s="33">
        <f>SmtRes!AD37*SmtRes!Y37*Source!I29</f>
        <v>12044.994825599999</v>
      </c>
      <c r="J79" s="29"/>
      <c r="K79" s="29"/>
      <c r="L79" s="29"/>
      <c r="M79" s="29"/>
      <c r="N79" s="30"/>
    </row>
    <row r="80" spans="1:14" ht="28.5">
      <c r="A80" s="34"/>
      <c r="B80" s="37" t="str">
        <f>SmtRes!I38</f>
        <v>2</v>
      </c>
      <c r="C80" s="37" t="s">
        <v>559</v>
      </c>
      <c r="D80" s="35" t="str">
        <f>SmtRes!O38</f>
        <v>чел.час</v>
      </c>
      <c r="E80" s="35">
        <f>SmtRes!Y38</f>
        <v>0.6875</v>
      </c>
      <c r="F80" s="35">
        <f>SmtRes!Y38*Source!I29</f>
        <v>1.1275</v>
      </c>
      <c r="G80" s="38">
        <f>(SmtRes!AA38+SmtRes!AB38+SmtRes!AD38)</f>
        <v>0</v>
      </c>
      <c r="H80" s="39">
        <f>(SmtRes!AA38*SmtRes!Y38*Source!I29+SmtRes!AB38*SmtRes!Y38*Source!I29+SmtRes!AD38*SmtRes!Y38*Source!I29)</f>
        <v>0</v>
      </c>
      <c r="I80" s="35"/>
      <c r="J80" s="35"/>
      <c r="K80" s="39">
        <f>SmtRes!AC38*SmtRes!Y38*Source!I29</f>
        <v>0</v>
      </c>
      <c r="L80" s="35"/>
      <c r="M80" s="35"/>
      <c r="N80" s="36"/>
    </row>
    <row r="81" spans="1:14" ht="43.5">
      <c r="A81" s="34"/>
      <c r="B81" s="37" t="str">
        <f>SmtRes!I39</f>
        <v>020129</v>
      </c>
      <c r="C81" s="37" t="s">
        <v>574</v>
      </c>
      <c r="D81" s="35" t="str">
        <f>SmtRes!O39</f>
        <v>маш.-ч</v>
      </c>
      <c r="E81" s="35">
        <f>SmtRes!Y39</f>
        <v>0.4375</v>
      </c>
      <c r="F81" s="35">
        <f>SmtRes!Y39*Source!I29</f>
        <v>0.7174999999999999</v>
      </c>
      <c r="G81" s="38">
        <f>(SmtRes!AA39+SmtRes!AB39+SmtRes!AD39)</f>
        <v>849.15</v>
      </c>
      <c r="H81" s="39">
        <f>(SmtRes!AA39*SmtRes!Y39*Source!I29+SmtRes!AB39*SmtRes!Y39*Source!I29+SmtRes!AD39*SmtRes!Y39*Source!I29)</f>
        <v>609.265125</v>
      </c>
      <c r="I81" s="35"/>
      <c r="J81" s="39">
        <f>SmtRes!AB39*SmtRes!Y39*Source!I29</f>
        <v>609.265125</v>
      </c>
      <c r="K81" s="39">
        <f>SmtRes!AC39*SmtRes!Y39*Source!I29</f>
        <v>0</v>
      </c>
      <c r="L81" s="35"/>
      <c r="M81" s="35"/>
      <c r="N81" s="36"/>
    </row>
    <row r="82" spans="1:14" ht="58.5">
      <c r="A82" s="34"/>
      <c r="B82" s="37" t="str">
        <f>SmtRes!I40</f>
        <v>021141</v>
      </c>
      <c r="C82" s="37" t="s">
        <v>561</v>
      </c>
      <c r="D82" s="35" t="str">
        <f>SmtRes!O40</f>
        <v>маш.-ч</v>
      </c>
      <c r="E82" s="35">
        <f>SmtRes!Y40</f>
        <v>0.25</v>
      </c>
      <c r="F82" s="35">
        <f>SmtRes!Y40*Source!I29</f>
        <v>0.41</v>
      </c>
      <c r="G82" s="38">
        <f>(SmtRes!AA40+SmtRes!AB40+SmtRes!AD40)</f>
        <v>636.03</v>
      </c>
      <c r="H82" s="39">
        <f>(SmtRes!AA40*SmtRes!Y40*Source!I29+SmtRes!AB40*SmtRes!Y40*Source!I29+SmtRes!AD40*SmtRes!Y40*Source!I29)</f>
        <v>260.7723</v>
      </c>
      <c r="I82" s="35"/>
      <c r="J82" s="39">
        <f>SmtRes!AB40*SmtRes!Y40*Source!I29</f>
        <v>260.7723</v>
      </c>
      <c r="K82" s="39">
        <f>SmtRes!AC40*SmtRes!Y40*Source!I29</f>
        <v>0</v>
      </c>
      <c r="L82" s="35"/>
      <c r="M82" s="35"/>
      <c r="N82" s="36"/>
    </row>
    <row r="83" spans="1:14" ht="43.5">
      <c r="A83" s="34"/>
      <c r="B83" s="37" t="str">
        <f>SmtRes!I41</f>
        <v>400001</v>
      </c>
      <c r="C83" s="37" t="s">
        <v>568</v>
      </c>
      <c r="D83" s="35" t="str">
        <f>SmtRes!O41</f>
        <v>маш.-ч</v>
      </c>
      <c r="E83" s="35">
        <f>SmtRes!Y41</f>
        <v>0.35000000000000003</v>
      </c>
      <c r="F83" s="35">
        <f>SmtRes!Y41*Source!I29</f>
        <v>0.5740000000000001</v>
      </c>
      <c r="G83" s="38">
        <f>(SmtRes!AA41+SmtRes!AB41+SmtRes!AD41)</f>
        <v>698.33</v>
      </c>
      <c r="H83" s="39">
        <f>(SmtRes!AA41*SmtRes!Y41*Source!I29+SmtRes!AB41*SmtRes!Y41*Source!I29+SmtRes!AD41*SmtRes!Y41*Source!I29)</f>
        <v>400.84142</v>
      </c>
      <c r="I83" s="35"/>
      <c r="J83" s="39">
        <f>SmtRes!AB41*SmtRes!Y41*Source!I29</f>
        <v>400.84142</v>
      </c>
      <c r="K83" s="39">
        <f>SmtRes!AC41*SmtRes!Y41*Source!I29</f>
        <v>0</v>
      </c>
      <c r="L83" s="35"/>
      <c r="M83" s="35"/>
      <c r="N83" s="36"/>
    </row>
    <row r="84" spans="1:14" ht="15">
      <c r="A84" s="34"/>
      <c r="B84" s="37">
        <f>SmtRes!I42</f>
      </c>
      <c r="C84" s="37" t="str">
        <f>SmtRes!K42</f>
        <v>Кровельный крепёж</v>
      </c>
      <c r="D84" s="35" t="str">
        <f>SmtRes!O42</f>
        <v>ШТ</v>
      </c>
      <c r="E84" s="35">
        <f>SmtRes!Y42</f>
        <v>250</v>
      </c>
      <c r="F84" s="35">
        <f>SmtRes!Y42*Source!I29</f>
        <v>410</v>
      </c>
      <c r="G84" s="38">
        <f>(SmtRes!AA42+SmtRes!AB42+SmtRes!AD42)</f>
        <v>4.75</v>
      </c>
      <c r="H84" s="39">
        <f>(SmtRes!AA42*SmtRes!Y42*Source!I29+SmtRes!AB42*SmtRes!Y42*Source!I29+SmtRes!AD42*SmtRes!Y42*Source!I29)</f>
        <v>1947.4999999999998</v>
      </c>
      <c r="I84" s="35"/>
      <c r="J84" s="35"/>
      <c r="K84" s="35"/>
      <c r="L84" s="39">
        <f>SmtRes!AA42*SmtRes!Y42*Source!I29</f>
        <v>1947.4999999999998</v>
      </c>
      <c r="M84" s="35"/>
      <c r="N84" s="36"/>
    </row>
    <row r="85" spans="1:14" ht="15">
      <c r="A85" s="34"/>
      <c r="B85" s="37">
        <f>SmtRes!I43</f>
      </c>
      <c r="C85" s="37" t="str">
        <f>SmtRes!K43</f>
        <v>Дюбель</v>
      </c>
      <c r="D85" s="35" t="str">
        <f>SmtRes!O43</f>
        <v>ШТ</v>
      </c>
      <c r="E85" s="35">
        <f>SmtRes!Y43</f>
        <v>250</v>
      </c>
      <c r="F85" s="35">
        <f>SmtRes!Y43*Source!I29</f>
        <v>410</v>
      </c>
      <c r="G85" s="38">
        <f>(SmtRes!AA43+SmtRes!AB43+SmtRes!AD43)</f>
        <v>0.69</v>
      </c>
      <c r="H85" s="39">
        <f>(SmtRes!AA43*SmtRes!Y43*Source!I29+SmtRes!AB43*SmtRes!Y43*Source!I29+SmtRes!AD43*SmtRes!Y43*Source!I29)</f>
        <v>282.9</v>
      </c>
      <c r="I85" s="35"/>
      <c r="J85" s="35"/>
      <c r="K85" s="35"/>
      <c r="L85" s="39">
        <f>SmtRes!AA43*SmtRes!Y43*Source!I29</f>
        <v>282.9</v>
      </c>
      <c r="M85" s="35"/>
      <c r="N85" s="36"/>
    </row>
    <row r="86" spans="1:14" ht="15">
      <c r="A86" s="34"/>
      <c r="B86" s="37">
        <f>SmtRes!I44</f>
      </c>
      <c r="C86" s="37" t="str">
        <f>SmtRes!K44</f>
        <v>Саморез</v>
      </c>
      <c r="D86" s="35" t="str">
        <f>SmtRes!O44</f>
        <v>ШТ</v>
      </c>
      <c r="E86" s="35">
        <f>SmtRes!Y44</f>
        <v>250</v>
      </c>
      <c r="F86" s="35">
        <f>SmtRes!Y44*Source!I29</f>
        <v>410</v>
      </c>
      <c r="G86" s="38">
        <f>(SmtRes!AA44+SmtRes!AB44+SmtRes!AD44)</f>
        <v>1.56</v>
      </c>
      <c r="H86" s="39">
        <f>(SmtRes!AA44*SmtRes!Y44*Source!I29+SmtRes!AB44*SmtRes!Y44*Source!I29+SmtRes!AD44*SmtRes!Y44*Source!I29)</f>
        <v>639.5999999999999</v>
      </c>
      <c r="I86" s="35"/>
      <c r="J86" s="35"/>
      <c r="K86" s="35"/>
      <c r="L86" s="39">
        <f>SmtRes!AA44*SmtRes!Y44*Source!I29</f>
        <v>639.5999999999999</v>
      </c>
      <c r="M86" s="35"/>
      <c r="N86" s="36"/>
    </row>
    <row r="87" spans="1:14" ht="15">
      <c r="A87" s="40"/>
      <c r="B87" s="41" t="str">
        <f>SmtRes!I45</f>
        <v>104-0004</v>
      </c>
      <c r="C87" s="41" t="str">
        <f>SmtRes!K45</f>
        <v>Минплита Изоруф Н 60 мм</v>
      </c>
      <c r="D87" s="42" t="str">
        <f>SmtRes!O45</f>
        <v>м3</v>
      </c>
      <c r="E87" s="42">
        <f>SmtRes!Y45</f>
        <v>6.18</v>
      </c>
      <c r="F87" s="42">
        <f>SmtRes!Y45*Source!I29</f>
        <v>10.1352</v>
      </c>
      <c r="G87" s="43">
        <f>(SmtRes!AA45+SmtRes!AB45+SmtRes!AD45)</f>
        <v>3946.75</v>
      </c>
      <c r="H87" s="44">
        <f>(SmtRes!AA45*SmtRes!Y45*Source!I29+SmtRes!AB45*SmtRes!Y45*Source!I29+SmtRes!AD45*SmtRes!Y45*Source!I29)</f>
        <v>40001.10059999999</v>
      </c>
      <c r="I87" s="42"/>
      <c r="J87" s="42"/>
      <c r="K87" s="42"/>
      <c r="L87" s="44">
        <f>SmtRes!AA45*SmtRes!Y45*Source!I29</f>
        <v>40001.10059999999</v>
      </c>
      <c r="M87" s="42"/>
      <c r="N87" s="45"/>
    </row>
    <row r="88" spans="1:26" ht="68.25">
      <c r="A88" s="16" t="str">
        <f>IF(Source!E30&lt;&gt;"",Source!E30,"")</f>
        <v>7</v>
      </c>
      <c r="B88" s="16" t="str">
        <f>IF(Source!F30&lt;&gt;"",Source!F30,"")</f>
        <v>12-01-013-4</v>
      </c>
      <c r="C88" s="16" t="s">
        <v>578</v>
      </c>
      <c r="D88" s="17" t="str">
        <f>IF(Source!H30&lt;&gt;"",Source!H30,"")</f>
        <v>100 м2 утепляемого покрытия</v>
      </c>
      <c r="E88" s="17" t="str">
        <f>IF(Source!J30=0," ",Source!J30)</f>
        <v> </v>
      </c>
      <c r="F88" s="18">
        <f>Source!I30</f>
        <v>1.64</v>
      </c>
      <c r="G88" s="19">
        <f>IF(Source!AB30=0," ",Source!AB30)</f>
        <v>70346.17</v>
      </c>
      <c r="H88" s="20">
        <f>IF(Source!O30=0," ",Source!O30)</f>
        <v>115368</v>
      </c>
      <c r="I88" s="20">
        <f>IF(Source!S30=0," ",Source!S30)</f>
        <v>18652</v>
      </c>
      <c r="J88" s="20">
        <f>IF(Source!Q30=0," ",Source!Q30)</f>
        <v>2542</v>
      </c>
      <c r="K88" s="20" t="str">
        <f>IF(Source!R30=0," ",Source!R30)</f>
        <v> </v>
      </c>
      <c r="L88" s="20">
        <f>IF(Source!P30=0," ",Source!P30)</f>
        <v>94174</v>
      </c>
      <c r="M88" s="21">
        <f>IF(Source!U30=0," ",ROUND(Source!U30,6))</f>
        <v>133.00072</v>
      </c>
      <c r="N88" s="21">
        <f>IF(Source!V30=0," ",ROUND(Source!V30,6))</f>
        <v>2.255</v>
      </c>
      <c r="T88">
        <f>IF(Source!O30=0," ",Source!O30)</f>
        <v>115368</v>
      </c>
      <c r="U88">
        <v>94174</v>
      </c>
      <c r="V88">
        <f>IF(Source!S30=0," ",Source!S30)</f>
        <v>18652</v>
      </c>
      <c r="W88">
        <f>IF(Source!Q30=0," ",Source!Q30)</f>
        <v>2542</v>
      </c>
      <c r="X88" t="str">
        <f>IF(Source!R30=0," ",Source!R30)</f>
        <v> </v>
      </c>
      <c r="Y88">
        <f>IF(Source!U30=0," ",ROUND(Source!U30,6))</f>
        <v>133.00072</v>
      </c>
      <c r="Z88">
        <f>IF(Source!V30=0," ",ROUND(Source!V30,6))</f>
        <v>2.255</v>
      </c>
    </row>
    <row r="89" spans="1:14" ht="15">
      <c r="A89" s="57"/>
      <c r="B89" s="57"/>
      <c r="C89" s="22" t="s">
        <v>154</v>
      </c>
      <c r="D89" s="23" t="str">
        <f>CONCATENATE(Source!AT30," %")</f>
        <v>108 %</v>
      </c>
      <c r="E89" s="23"/>
      <c r="F89" s="23"/>
      <c r="G89" s="23"/>
      <c r="H89" s="24">
        <f>Source!X30</f>
        <v>20144</v>
      </c>
      <c r="I89" s="57"/>
      <c r="J89" s="57"/>
      <c r="K89" s="57"/>
      <c r="L89" s="57"/>
      <c r="M89" s="57"/>
      <c r="N89" s="57"/>
    </row>
    <row r="90" spans="1:14" ht="15">
      <c r="A90" s="57"/>
      <c r="B90" s="57"/>
      <c r="C90" s="22" t="s">
        <v>156</v>
      </c>
      <c r="D90" s="23" t="str">
        <f>CONCATENATE(Source!AU30," %")</f>
        <v>55,25 %</v>
      </c>
      <c r="E90" s="23"/>
      <c r="F90" s="23"/>
      <c r="G90" s="23"/>
      <c r="H90" s="24">
        <f>Source!Y30</f>
        <v>10305</v>
      </c>
      <c r="I90" s="57"/>
      <c r="J90" s="57"/>
      <c r="K90" s="57"/>
      <c r="L90" s="57"/>
      <c r="M90" s="57"/>
      <c r="N90" s="57"/>
    </row>
    <row r="91" spans="1:14" ht="14.25">
      <c r="A91" s="58"/>
      <c r="B91" s="58"/>
      <c r="C91" s="25" t="s">
        <v>551</v>
      </c>
      <c r="D91" s="26"/>
      <c r="E91" s="26"/>
      <c r="F91" s="26"/>
      <c r="G91" s="26"/>
      <c r="H91" s="27">
        <f>SUMIF(Source!AA30:Source!AA30,"=27243028",Source!GM30:Source!GM30)</f>
        <v>145817</v>
      </c>
      <c r="I91" s="58"/>
      <c r="J91" s="58"/>
      <c r="K91" s="58"/>
      <c r="L91" s="58"/>
      <c r="M91" s="58"/>
      <c r="N91" s="58"/>
    </row>
    <row r="92" spans="1:14" ht="43.5">
      <c r="A92" s="28"/>
      <c r="B92" s="31" t="str">
        <f>SmtRes!I46</f>
        <v>1-1039</v>
      </c>
      <c r="C92" s="31" t="s">
        <v>579</v>
      </c>
      <c r="D92" s="29" t="str">
        <f>SmtRes!O46</f>
        <v>чел.-ч</v>
      </c>
      <c r="E92" s="29">
        <f>SmtRes!Y46</f>
        <v>81.09799999999998</v>
      </c>
      <c r="F92" s="29">
        <f>SmtRes!Y46*Source!I30</f>
        <v>133.00071999999997</v>
      </c>
      <c r="G92" s="32">
        <f>(SmtRes!AA46+SmtRes!AB46+SmtRes!AD46)</f>
        <v>140.24</v>
      </c>
      <c r="H92" s="33">
        <f>(SmtRes!AA46*SmtRes!Y46*Source!I30+SmtRes!AB46*SmtRes!Y46*Source!I30+SmtRes!AD46*SmtRes!Y46*Source!I30)</f>
        <v>18652.020972799997</v>
      </c>
      <c r="I92" s="33">
        <f>SmtRes!AD46*SmtRes!Y46*Source!I30</f>
        <v>18652.020972799997</v>
      </c>
      <c r="J92" s="29"/>
      <c r="K92" s="29"/>
      <c r="L92" s="29"/>
      <c r="M92" s="29"/>
      <c r="N92" s="30"/>
    </row>
    <row r="93" spans="1:14" ht="28.5">
      <c r="A93" s="34"/>
      <c r="B93" s="37" t="str">
        <f>SmtRes!I47</f>
        <v>2</v>
      </c>
      <c r="C93" s="37" t="s">
        <v>580</v>
      </c>
      <c r="D93" s="35" t="str">
        <f>SmtRes!O47</f>
        <v>чел.час</v>
      </c>
      <c r="E93" s="35">
        <f>SmtRes!Y47</f>
        <v>1.375</v>
      </c>
      <c r="F93" s="35">
        <f>SmtRes!Y47*Source!I30</f>
        <v>2.255</v>
      </c>
      <c r="G93" s="38">
        <f>(SmtRes!AA47+SmtRes!AB47+SmtRes!AD47)</f>
        <v>0</v>
      </c>
      <c r="H93" s="39">
        <f>(SmtRes!AA47*SmtRes!Y47*Source!I30+SmtRes!AB47*SmtRes!Y47*Source!I30+SmtRes!AD47*SmtRes!Y47*Source!I30)</f>
        <v>0</v>
      </c>
      <c r="I93" s="35"/>
      <c r="J93" s="35"/>
      <c r="K93" s="39">
        <f>SmtRes!AC47*SmtRes!Y47*Source!I30</f>
        <v>0</v>
      </c>
      <c r="L93" s="35"/>
      <c r="M93" s="35"/>
      <c r="N93" s="36"/>
    </row>
    <row r="94" spans="1:14" ht="43.5">
      <c r="A94" s="34"/>
      <c r="B94" s="37" t="str">
        <f>SmtRes!I48</f>
        <v>020129</v>
      </c>
      <c r="C94" s="37" t="s">
        <v>581</v>
      </c>
      <c r="D94" s="35" t="str">
        <f>SmtRes!O48</f>
        <v>маш.-ч</v>
      </c>
      <c r="E94" s="35">
        <f>SmtRes!Y48</f>
        <v>0.875</v>
      </c>
      <c r="F94" s="35">
        <f>SmtRes!Y48*Source!I30</f>
        <v>1.4349999999999998</v>
      </c>
      <c r="G94" s="38">
        <f>(SmtRes!AA48+SmtRes!AB48+SmtRes!AD48)</f>
        <v>849.15</v>
      </c>
      <c r="H94" s="39">
        <f>(SmtRes!AA48*SmtRes!Y48*Source!I30+SmtRes!AB48*SmtRes!Y48*Source!I30+SmtRes!AD48*SmtRes!Y48*Source!I30)</f>
        <v>1218.53025</v>
      </c>
      <c r="I94" s="35"/>
      <c r="J94" s="39">
        <f>SmtRes!AB48*SmtRes!Y48*Source!I30</f>
        <v>1218.53025</v>
      </c>
      <c r="K94" s="39">
        <f>SmtRes!AC48*SmtRes!Y48*Source!I30</f>
        <v>0</v>
      </c>
      <c r="L94" s="35"/>
      <c r="M94" s="35"/>
      <c r="N94" s="36"/>
    </row>
    <row r="95" spans="1:14" ht="58.5">
      <c r="A95" s="34"/>
      <c r="B95" s="37" t="str">
        <f>SmtRes!I49</f>
        <v>021141</v>
      </c>
      <c r="C95" s="37" t="s">
        <v>582</v>
      </c>
      <c r="D95" s="35" t="str">
        <f>SmtRes!O49</f>
        <v>маш.-ч</v>
      </c>
      <c r="E95" s="35">
        <f>SmtRes!Y49</f>
        <v>0.5</v>
      </c>
      <c r="F95" s="35">
        <f>SmtRes!Y49*Source!I30</f>
        <v>0.82</v>
      </c>
      <c r="G95" s="38">
        <f>(SmtRes!AA49+SmtRes!AB49+SmtRes!AD49)</f>
        <v>636.03</v>
      </c>
      <c r="H95" s="39">
        <f>(SmtRes!AA49*SmtRes!Y49*Source!I30+SmtRes!AB49*SmtRes!Y49*Source!I30+SmtRes!AD49*SmtRes!Y49*Source!I30)</f>
        <v>521.5446</v>
      </c>
      <c r="I95" s="35"/>
      <c r="J95" s="39">
        <f>SmtRes!AB49*SmtRes!Y49*Source!I30</f>
        <v>521.5446</v>
      </c>
      <c r="K95" s="39">
        <f>SmtRes!AC49*SmtRes!Y49*Source!I30</f>
        <v>0</v>
      </c>
      <c r="L95" s="35"/>
      <c r="M95" s="35"/>
      <c r="N95" s="36"/>
    </row>
    <row r="96" spans="1:14" ht="43.5">
      <c r="A96" s="34"/>
      <c r="B96" s="37" t="str">
        <f>SmtRes!I50</f>
        <v>400001</v>
      </c>
      <c r="C96" s="37" t="s">
        <v>583</v>
      </c>
      <c r="D96" s="35" t="str">
        <f>SmtRes!O50</f>
        <v>маш.-ч</v>
      </c>
      <c r="E96" s="35">
        <f>SmtRes!Y50</f>
        <v>0.7000000000000001</v>
      </c>
      <c r="F96" s="35">
        <f>SmtRes!Y50*Source!I30</f>
        <v>1.1480000000000001</v>
      </c>
      <c r="G96" s="38">
        <f>(SmtRes!AA50+SmtRes!AB50+SmtRes!AD50)</f>
        <v>698.33</v>
      </c>
      <c r="H96" s="39">
        <f>(SmtRes!AA50*SmtRes!Y50*Source!I30+SmtRes!AB50*SmtRes!Y50*Source!I30+SmtRes!AD50*SmtRes!Y50*Source!I30)</f>
        <v>801.68284</v>
      </c>
      <c r="I96" s="35"/>
      <c r="J96" s="39">
        <f>SmtRes!AB50*SmtRes!Y50*Source!I30</f>
        <v>801.68284</v>
      </c>
      <c r="K96" s="39">
        <f>SmtRes!AC50*SmtRes!Y50*Source!I30</f>
        <v>0</v>
      </c>
      <c r="L96" s="35"/>
      <c r="M96" s="35"/>
      <c r="N96" s="36"/>
    </row>
    <row r="97" spans="1:14" ht="28.5">
      <c r="A97" s="34"/>
      <c r="B97" s="37">
        <f>SmtRes!I51</f>
      </c>
      <c r="C97" s="37" t="s">
        <v>584</v>
      </c>
      <c r="D97" s="35" t="str">
        <f>SmtRes!O51</f>
        <v>ШТ</v>
      </c>
      <c r="E97" s="35">
        <f>SmtRes!Y51</f>
        <v>500</v>
      </c>
      <c r="F97" s="35">
        <f>SmtRes!Y51*Source!I30</f>
        <v>820</v>
      </c>
      <c r="G97" s="38">
        <f>(SmtRes!AA51+SmtRes!AB51+SmtRes!AD51)</f>
        <v>4.75</v>
      </c>
      <c r="H97" s="39">
        <f>(SmtRes!AA51*SmtRes!Y51*Source!I30+SmtRes!AB51*SmtRes!Y51*Source!I30+SmtRes!AD51*SmtRes!Y51*Source!I30)</f>
        <v>3894.9999999999995</v>
      </c>
      <c r="I97" s="35"/>
      <c r="J97" s="35"/>
      <c r="K97" s="35"/>
      <c r="L97" s="39">
        <f>SmtRes!AA51*SmtRes!Y51*Source!I30</f>
        <v>3894.9999999999995</v>
      </c>
      <c r="M97" s="35"/>
      <c r="N97" s="36"/>
    </row>
    <row r="98" spans="1:14" ht="28.5">
      <c r="A98" s="34"/>
      <c r="B98" s="37">
        <f>SmtRes!I52</f>
      </c>
      <c r="C98" s="37" t="s">
        <v>585</v>
      </c>
      <c r="D98" s="35" t="str">
        <f>SmtRes!O52</f>
        <v>ШТ</v>
      </c>
      <c r="E98" s="35">
        <f>SmtRes!Y52</f>
        <v>500</v>
      </c>
      <c r="F98" s="35">
        <f>SmtRes!Y52*Source!I30</f>
        <v>820</v>
      </c>
      <c r="G98" s="38">
        <f>(SmtRes!AA52+SmtRes!AB52+SmtRes!AD52)</f>
        <v>0.69</v>
      </c>
      <c r="H98" s="39">
        <f>(SmtRes!AA52*SmtRes!Y52*Source!I30+SmtRes!AB52*SmtRes!Y52*Source!I30+SmtRes!AD52*SmtRes!Y52*Source!I30)</f>
        <v>565.8</v>
      </c>
      <c r="I98" s="35"/>
      <c r="J98" s="35"/>
      <c r="K98" s="35"/>
      <c r="L98" s="39">
        <f>SmtRes!AA52*SmtRes!Y52*Source!I30</f>
        <v>565.8</v>
      </c>
      <c r="M98" s="35"/>
      <c r="N98" s="36"/>
    </row>
    <row r="99" spans="1:14" ht="28.5">
      <c r="A99" s="34"/>
      <c r="B99" s="37">
        <f>SmtRes!I53</f>
      </c>
      <c r="C99" s="37" t="s">
        <v>586</v>
      </c>
      <c r="D99" s="35" t="str">
        <f>SmtRes!O53</f>
        <v>ШТ</v>
      </c>
      <c r="E99" s="35">
        <f>SmtRes!Y53</f>
        <v>500</v>
      </c>
      <c r="F99" s="35">
        <f>SmtRes!Y53*Source!I30</f>
        <v>820</v>
      </c>
      <c r="G99" s="38">
        <f>(SmtRes!AA53+SmtRes!AB53+SmtRes!AD53)</f>
        <v>1.56</v>
      </c>
      <c r="H99" s="39">
        <f>(SmtRes!AA53*SmtRes!Y53*Source!I30+SmtRes!AB53*SmtRes!Y53*Source!I30+SmtRes!AD53*SmtRes!Y53*Source!I30)</f>
        <v>1279.1999999999998</v>
      </c>
      <c r="I99" s="35"/>
      <c r="J99" s="35"/>
      <c r="K99" s="35"/>
      <c r="L99" s="39">
        <f>SmtRes!AA53*SmtRes!Y53*Source!I30</f>
        <v>1279.1999999999998</v>
      </c>
      <c r="M99" s="35"/>
      <c r="N99" s="36"/>
    </row>
    <row r="100" spans="1:14" ht="28.5">
      <c r="A100" s="40"/>
      <c r="B100" s="41" t="str">
        <f>SmtRes!I54</f>
        <v>104-0004</v>
      </c>
      <c r="C100" s="41" t="s">
        <v>587</v>
      </c>
      <c r="D100" s="42" t="str">
        <f>SmtRes!O54</f>
        <v>м3</v>
      </c>
      <c r="E100" s="42">
        <f>SmtRes!Y54</f>
        <v>8.24</v>
      </c>
      <c r="F100" s="42">
        <f>SmtRes!Y54*Source!I30</f>
        <v>13.5136</v>
      </c>
      <c r="G100" s="43">
        <f>(SmtRes!AA54+SmtRes!AB54+SmtRes!AD54)</f>
        <v>6544.07</v>
      </c>
      <c r="H100" s="44">
        <f>(SmtRes!AA54*SmtRes!Y54*Source!I30+SmtRes!AB54*SmtRes!Y54*Source!I30+SmtRes!AD54*SmtRes!Y54*Source!I30)</f>
        <v>88433.94435199999</v>
      </c>
      <c r="I100" s="42"/>
      <c r="J100" s="42"/>
      <c r="K100" s="42"/>
      <c r="L100" s="44">
        <f>SmtRes!AA54*SmtRes!Y54*Source!I30</f>
        <v>88433.94435199999</v>
      </c>
      <c r="M100" s="42"/>
      <c r="N100" s="45"/>
    </row>
    <row r="101" spans="1:26" ht="54">
      <c r="A101" s="16" t="str">
        <f>IF(Source!E31&lt;&gt;"",Source!E31,"")</f>
        <v>9</v>
      </c>
      <c r="B101" s="16" t="str">
        <f>IF(Source!F31&lt;&gt;"",Source!F31,"")</f>
        <v>09-03-014-3</v>
      </c>
      <c r="C101" s="16" t="s">
        <v>588</v>
      </c>
      <c r="D101" s="17" t="str">
        <f>IF(Source!H31&lt;&gt;"",Source!H31,"")</f>
        <v>1 т конструкций</v>
      </c>
      <c r="E101" s="17" t="str">
        <f>IF(Source!J31=0," ",Source!J31)</f>
        <v> </v>
      </c>
      <c r="F101" s="18">
        <f>Source!I31</f>
        <v>1.44</v>
      </c>
      <c r="G101" s="19">
        <f>IF(Source!AB31=0," ",Source!AB31)</f>
        <v>47957.81</v>
      </c>
      <c r="H101" s="20">
        <f>IF(Source!O31=0," ",Source!O31)</f>
        <v>69060</v>
      </c>
      <c r="I101" s="20">
        <f>IF(Source!S31=0," ",Source!S31)</f>
        <v>13508</v>
      </c>
      <c r="J101" s="20">
        <f>IF(Source!Q31=0," ",Source!Q31)</f>
        <v>6520</v>
      </c>
      <c r="K101" s="20" t="str">
        <f>IF(Source!R31=0," ",Source!R31)</f>
        <v> </v>
      </c>
      <c r="L101" s="20">
        <f>IF(Source!P31=0," ",Source!P31)</f>
        <v>49032</v>
      </c>
      <c r="M101" s="21">
        <f>IF(Source!U31=0," ",ROUND(Source!U31,6))</f>
        <v>104.79168</v>
      </c>
      <c r="N101" s="21">
        <f>IF(Source!V31=0," ",ROUND(Source!V31,6))</f>
        <v>6.876</v>
      </c>
      <c r="T101">
        <f>IF(Source!O31=0," ",Source!O31)</f>
        <v>69060</v>
      </c>
      <c r="U101">
        <v>49032</v>
      </c>
      <c r="V101">
        <f>IF(Source!S31=0," ",Source!S31)</f>
        <v>13508</v>
      </c>
      <c r="W101">
        <f>IF(Source!Q31=0," ",Source!Q31)</f>
        <v>6520</v>
      </c>
      <c r="X101" t="str">
        <f>IF(Source!R31=0," ",Source!R31)</f>
        <v> </v>
      </c>
      <c r="Y101">
        <f>IF(Source!U31=0," ",ROUND(Source!U31,6))</f>
        <v>104.79168</v>
      </c>
      <c r="Z101">
        <f>IF(Source!V31=0," ",ROUND(Source!V31,6))</f>
        <v>6.876</v>
      </c>
    </row>
    <row r="102" spans="1:14" ht="15">
      <c r="A102" s="57"/>
      <c r="B102" s="57"/>
      <c r="C102" s="22" t="s">
        <v>154</v>
      </c>
      <c r="D102" s="23" t="str">
        <f>CONCATENATE(Source!AT31," %")</f>
        <v>81 %</v>
      </c>
      <c r="E102" s="23"/>
      <c r="F102" s="23"/>
      <c r="G102" s="23"/>
      <c r="H102" s="24">
        <f>Source!X31</f>
        <v>10941</v>
      </c>
      <c r="I102" s="57"/>
      <c r="J102" s="57"/>
      <c r="K102" s="57"/>
      <c r="L102" s="57"/>
      <c r="M102" s="57"/>
      <c r="N102" s="57"/>
    </row>
    <row r="103" spans="1:14" ht="15">
      <c r="A103" s="57"/>
      <c r="B103" s="57"/>
      <c r="C103" s="22" t="s">
        <v>156</v>
      </c>
      <c r="D103" s="23" t="str">
        <f>CONCATENATE(Source!AU31," %")</f>
        <v>72,25 %</v>
      </c>
      <c r="E103" s="23"/>
      <c r="F103" s="23"/>
      <c r="G103" s="23"/>
      <c r="H103" s="24">
        <f>Source!Y31</f>
        <v>9760</v>
      </c>
      <c r="I103" s="57"/>
      <c r="J103" s="57"/>
      <c r="K103" s="57"/>
      <c r="L103" s="57"/>
      <c r="M103" s="57"/>
      <c r="N103" s="57"/>
    </row>
    <row r="104" spans="1:14" ht="14.25">
      <c r="A104" s="58"/>
      <c r="B104" s="58"/>
      <c r="C104" s="25" t="s">
        <v>551</v>
      </c>
      <c r="D104" s="26"/>
      <c r="E104" s="26"/>
      <c r="F104" s="26"/>
      <c r="G104" s="26"/>
      <c r="H104" s="27">
        <f>SUMIF(Source!AA31:Source!AA31,"=27243028",Source!GM31:Source!GM31)</f>
        <v>89761</v>
      </c>
      <c r="I104" s="58"/>
      <c r="J104" s="58"/>
      <c r="K104" s="58"/>
      <c r="L104" s="58"/>
      <c r="M104" s="58"/>
      <c r="N104" s="58"/>
    </row>
    <row r="105" spans="1:14" ht="43.5">
      <c r="A105" s="28"/>
      <c r="B105" s="31" t="str">
        <f>SmtRes!I55</f>
        <v>1-1032</v>
      </c>
      <c r="C105" s="31" t="s">
        <v>558</v>
      </c>
      <c r="D105" s="29" t="str">
        <f>SmtRes!O55</f>
        <v>чел.-ч</v>
      </c>
      <c r="E105" s="29">
        <f>SmtRes!Y55</f>
        <v>72.77199999999999</v>
      </c>
      <c r="F105" s="29">
        <f>SmtRes!Y55*Source!I31</f>
        <v>104.79167999999999</v>
      </c>
      <c r="G105" s="32">
        <f>(SmtRes!AA55+SmtRes!AB55+SmtRes!AD55)</f>
        <v>128.9</v>
      </c>
      <c r="H105" s="33">
        <f>(SmtRes!AA55*SmtRes!Y55*Source!I31+SmtRes!AB55*SmtRes!Y55*Source!I31+SmtRes!AD55*SmtRes!Y55*Source!I31)</f>
        <v>13507.647551999999</v>
      </c>
      <c r="I105" s="33">
        <f>SmtRes!AD55*SmtRes!Y55*Source!I31</f>
        <v>13507.647551999999</v>
      </c>
      <c r="J105" s="29"/>
      <c r="K105" s="29"/>
      <c r="L105" s="29"/>
      <c r="M105" s="29"/>
      <c r="N105" s="30"/>
    </row>
    <row r="106" spans="1:14" ht="28.5">
      <c r="A106" s="34"/>
      <c r="B106" s="37" t="str">
        <f>SmtRes!I56</f>
        <v>2</v>
      </c>
      <c r="C106" s="37" t="s">
        <v>559</v>
      </c>
      <c r="D106" s="35" t="str">
        <f>SmtRes!O56</f>
        <v>чел.час</v>
      </c>
      <c r="E106" s="35">
        <f>SmtRes!Y56</f>
        <v>4.7749999999999995</v>
      </c>
      <c r="F106" s="35">
        <f>SmtRes!Y56*Source!I31</f>
        <v>6.875999999999999</v>
      </c>
      <c r="G106" s="38">
        <f>(SmtRes!AA56+SmtRes!AB56+SmtRes!AD56)</f>
        <v>0</v>
      </c>
      <c r="H106" s="39">
        <f>(SmtRes!AA56*SmtRes!Y56*Source!I31+SmtRes!AB56*SmtRes!Y56*Source!I31+SmtRes!AD56*SmtRes!Y56*Source!I31)</f>
        <v>0</v>
      </c>
      <c r="I106" s="35"/>
      <c r="J106" s="35"/>
      <c r="K106" s="39">
        <f>SmtRes!AC56*SmtRes!Y56*Source!I31</f>
        <v>0</v>
      </c>
      <c r="L106" s="35"/>
      <c r="M106" s="35"/>
      <c r="N106" s="36"/>
    </row>
    <row r="107" spans="1:14" ht="58.5">
      <c r="A107" s="34"/>
      <c r="B107" s="37" t="str">
        <f>SmtRes!I57</f>
        <v>020403</v>
      </c>
      <c r="C107" s="37" t="s">
        <v>560</v>
      </c>
      <c r="D107" s="35" t="str">
        <f>SmtRes!O57</f>
        <v>маш.-ч</v>
      </c>
      <c r="E107" s="35">
        <f>SmtRes!Y57</f>
        <v>0.125</v>
      </c>
      <c r="F107" s="35">
        <f>SmtRes!Y57*Source!I31</f>
        <v>0.18</v>
      </c>
      <c r="G107" s="38">
        <f>(SmtRes!AA57+SmtRes!AB57+SmtRes!AD57)</f>
        <v>723.53</v>
      </c>
      <c r="H107" s="39">
        <f>(SmtRes!AA57*SmtRes!Y57*Source!I31+SmtRes!AB57*SmtRes!Y57*Source!I31+SmtRes!AD57*SmtRes!Y57*Source!I31)</f>
        <v>130.2354</v>
      </c>
      <c r="I107" s="35"/>
      <c r="J107" s="39">
        <f>SmtRes!AB57*SmtRes!Y57*Source!I31</f>
        <v>130.2354</v>
      </c>
      <c r="K107" s="39">
        <f>SmtRes!AC57*SmtRes!Y57*Source!I31</f>
        <v>0</v>
      </c>
      <c r="L107" s="35"/>
      <c r="M107" s="35"/>
      <c r="N107" s="36"/>
    </row>
    <row r="108" spans="1:14" ht="58.5">
      <c r="A108" s="34"/>
      <c r="B108" s="37" t="str">
        <f>SmtRes!I58</f>
        <v>021141</v>
      </c>
      <c r="C108" s="37" t="s">
        <v>561</v>
      </c>
      <c r="D108" s="35" t="str">
        <f>SmtRes!O58</f>
        <v>маш.-ч</v>
      </c>
      <c r="E108" s="35">
        <f>SmtRes!Y58</f>
        <v>0.15</v>
      </c>
      <c r="F108" s="35">
        <f>SmtRes!Y58*Source!I31</f>
        <v>0.216</v>
      </c>
      <c r="G108" s="38">
        <f>(SmtRes!AA58+SmtRes!AB58+SmtRes!AD58)</f>
        <v>636.03</v>
      </c>
      <c r="H108" s="39">
        <f>(SmtRes!AA58*SmtRes!Y58*Source!I31+SmtRes!AB58*SmtRes!Y58*Source!I31+SmtRes!AD58*SmtRes!Y58*Source!I31)</f>
        <v>137.38248</v>
      </c>
      <c r="I108" s="35"/>
      <c r="J108" s="39">
        <f>SmtRes!AB58*SmtRes!Y58*Source!I31</f>
        <v>137.38248</v>
      </c>
      <c r="K108" s="39">
        <f>SmtRes!AC58*SmtRes!Y58*Source!I31</f>
        <v>0</v>
      </c>
      <c r="L108" s="35"/>
      <c r="M108" s="35"/>
      <c r="N108" s="36"/>
    </row>
    <row r="109" spans="1:14" ht="43.5">
      <c r="A109" s="34"/>
      <c r="B109" s="37" t="str">
        <f>SmtRes!I59</f>
        <v>021245</v>
      </c>
      <c r="C109" s="37" t="s">
        <v>562</v>
      </c>
      <c r="D109" s="35" t="str">
        <f>SmtRes!O59</f>
        <v>маш.-ч</v>
      </c>
      <c r="E109" s="35">
        <f>SmtRes!Y59</f>
        <v>4.5</v>
      </c>
      <c r="F109" s="35">
        <f>SmtRes!Y59*Source!I31</f>
        <v>6.4799999999999995</v>
      </c>
      <c r="G109" s="38">
        <f>(SmtRes!AA59+SmtRes!AB59+SmtRes!AD59)</f>
        <v>923.13</v>
      </c>
      <c r="H109" s="39">
        <f>(SmtRes!AA59*SmtRes!Y59*Source!I31+SmtRes!AB59*SmtRes!Y59*Source!I31+SmtRes!AD59*SmtRes!Y59*Source!I31)</f>
        <v>5981.8823999999995</v>
      </c>
      <c r="I109" s="35"/>
      <c r="J109" s="39">
        <f>SmtRes!AB59*SmtRes!Y59*Source!I31</f>
        <v>5981.8823999999995</v>
      </c>
      <c r="K109" s="39">
        <f>SmtRes!AC59*SmtRes!Y59*Source!I31</f>
        <v>0</v>
      </c>
      <c r="L109" s="35"/>
      <c r="M109" s="35"/>
      <c r="N109" s="36"/>
    </row>
    <row r="110" spans="1:14" ht="28.5">
      <c r="A110" s="34"/>
      <c r="B110" s="37" t="str">
        <f>SmtRes!I60</f>
        <v>040504</v>
      </c>
      <c r="C110" s="37" t="s">
        <v>564</v>
      </c>
      <c r="D110" s="35" t="str">
        <f>SmtRes!O60</f>
        <v>маш.-ч</v>
      </c>
      <c r="E110" s="35">
        <f>SmtRes!Y60</f>
        <v>1.675</v>
      </c>
      <c r="F110" s="35">
        <f>SmtRes!Y60*Source!I31</f>
        <v>2.412</v>
      </c>
      <c r="G110" s="38">
        <f>(SmtRes!AA60+SmtRes!AB60+SmtRes!AD60)</f>
        <v>5.98</v>
      </c>
      <c r="H110" s="39">
        <f>(SmtRes!AA60*SmtRes!Y60*Source!I31+SmtRes!AB60*SmtRes!Y60*Source!I31+SmtRes!AD60*SmtRes!Y60*Source!I31)</f>
        <v>14.42376</v>
      </c>
      <c r="I110" s="35"/>
      <c r="J110" s="39">
        <f>SmtRes!AB60*SmtRes!Y60*Source!I31</f>
        <v>14.42376</v>
      </c>
      <c r="K110" s="39">
        <f>SmtRes!AC60*SmtRes!Y60*Source!I31</f>
        <v>0</v>
      </c>
      <c r="L110" s="35"/>
      <c r="M110" s="35"/>
      <c r="N110" s="36"/>
    </row>
    <row r="111" spans="1:14" ht="58.5">
      <c r="A111" s="34"/>
      <c r="B111" s="37" t="str">
        <f>SmtRes!I61</f>
        <v>041000</v>
      </c>
      <c r="C111" s="37" t="s">
        <v>565</v>
      </c>
      <c r="D111" s="35" t="str">
        <f>SmtRes!O61</f>
        <v>маш.-ч</v>
      </c>
      <c r="E111" s="35">
        <f>SmtRes!Y61</f>
        <v>0.125</v>
      </c>
      <c r="F111" s="35">
        <f>SmtRes!Y61*Source!I31</f>
        <v>0.18</v>
      </c>
      <c r="G111" s="38">
        <f>(SmtRes!AA61+SmtRes!AB61+SmtRes!AD61)</f>
        <v>96.21</v>
      </c>
      <c r="H111" s="39">
        <f>(SmtRes!AA61*SmtRes!Y61*Source!I31+SmtRes!AB61*SmtRes!Y61*Source!I31+SmtRes!AD61*SmtRes!Y61*Source!I31)</f>
        <v>17.3178</v>
      </c>
      <c r="I111" s="35"/>
      <c r="J111" s="39">
        <f>SmtRes!AB61*SmtRes!Y61*Source!I31</f>
        <v>17.3178</v>
      </c>
      <c r="K111" s="39">
        <f>SmtRes!AC61*SmtRes!Y61*Source!I31</f>
        <v>0</v>
      </c>
      <c r="L111" s="35"/>
      <c r="M111" s="35"/>
      <c r="N111" s="36"/>
    </row>
    <row r="112" spans="1:14" ht="43.5">
      <c r="A112" s="34"/>
      <c r="B112" s="37" t="str">
        <f>SmtRes!I62</f>
        <v>400001</v>
      </c>
      <c r="C112" s="37" t="s">
        <v>568</v>
      </c>
      <c r="D112" s="35" t="str">
        <f>SmtRes!O62</f>
        <v>маш.-ч</v>
      </c>
      <c r="E112" s="35">
        <f>SmtRes!Y62</f>
        <v>0.2375</v>
      </c>
      <c r="F112" s="35">
        <f>SmtRes!Y62*Source!I31</f>
        <v>0.34199999999999997</v>
      </c>
      <c r="G112" s="38">
        <f>(SmtRes!AA62+SmtRes!AB62+SmtRes!AD62)</f>
        <v>698.33</v>
      </c>
      <c r="H112" s="39">
        <f>(SmtRes!AA62*SmtRes!Y62*Source!I31+SmtRes!AB62*SmtRes!Y62*Source!I31+SmtRes!AD62*SmtRes!Y62*Source!I31)</f>
        <v>238.82886</v>
      </c>
      <c r="I112" s="35"/>
      <c r="J112" s="39">
        <f>SmtRes!AB62*SmtRes!Y62*Source!I31</f>
        <v>238.82886</v>
      </c>
      <c r="K112" s="39">
        <f>SmtRes!AC62*SmtRes!Y62*Source!I31</f>
        <v>0</v>
      </c>
      <c r="L112" s="35"/>
      <c r="M112" s="35"/>
      <c r="N112" s="36"/>
    </row>
    <row r="113" spans="1:14" ht="15">
      <c r="A113" s="34"/>
      <c r="B113" s="37" t="str">
        <f>SmtRes!I63</f>
        <v>101-0324</v>
      </c>
      <c r="C113" s="37" t="str">
        <f>SmtRes!K63</f>
        <v>Кислород технический газообразный</v>
      </c>
      <c r="D113" s="35" t="str">
        <f>SmtRes!O63</f>
        <v>м3</v>
      </c>
      <c r="E113" s="35">
        <f>SmtRes!Y63</f>
        <v>1.2</v>
      </c>
      <c r="F113" s="35">
        <f>SmtRes!Y63*Source!I31</f>
        <v>1.728</v>
      </c>
      <c r="G113" s="38">
        <f>(SmtRes!AA63+SmtRes!AB63+SmtRes!AD63)</f>
        <v>43</v>
      </c>
      <c r="H113" s="39">
        <f>(SmtRes!AA63*SmtRes!Y63*Source!I31+SmtRes!AB63*SmtRes!Y63*Source!I31+SmtRes!AD63*SmtRes!Y63*Source!I31)</f>
        <v>74.304</v>
      </c>
      <c r="I113" s="35"/>
      <c r="J113" s="35"/>
      <c r="K113" s="35"/>
      <c r="L113" s="39">
        <f>SmtRes!AA63*SmtRes!Y63*Source!I31</f>
        <v>74.304</v>
      </c>
      <c r="M113" s="35"/>
      <c r="N113" s="36"/>
    </row>
    <row r="114" spans="1:14" ht="30">
      <c r="A114" s="34"/>
      <c r="B114" s="37" t="str">
        <f>SmtRes!I64</f>
        <v>101-0797</v>
      </c>
      <c r="C114" s="37" t="str">
        <f>SmtRes!K64</f>
        <v>Проволока горячекатаная в мотках, диаметром 6,3-6,5 мм</v>
      </c>
      <c r="D114" s="35" t="str">
        <f>SmtRes!O64</f>
        <v>т</v>
      </c>
      <c r="E114" s="35">
        <f>SmtRes!Y64</f>
        <v>3E-05</v>
      </c>
      <c r="F114" s="35">
        <f>SmtRes!Y64*Source!I31</f>
        <v>4.32E-05</v>
      </c>
      <c r="G114" s="38">
        <f>(SmtRes!AA64+SmtRes!AB64+SmtRes!AD64)</f>
        <v>68136</v>
      </c>
      <c r="H114" s="39">
        <f>(SmtRes!AA64*SmtRes!Y64*Source!I31+SmtRes!AB64*SmtRes!Y64*Source!I31+SmtRes!AD64*SmtRes!Y64*Source!I31)</f>
        <v>2.9434752</v>
      </c>
      <c r="I114" s="35"/>
      <c r="J114" s="35"/>
      <c r="K114" s="35"/>
      <c r="L114" s="39">
        <f>SmtRes!AA64*SmtRes!Y64*Source!I31</f>
        <v>2.9434752</v>
      </c>
      <c r="M114" s="35"/>
      <c r="N114" s="36"/>
    </row>
    <row r="115" spans="1:14" ht="15">
      <c r="A115" s="34"/>
      <c r="B115" s="37" t="str">
        <f>SmtRes!I65</f>
        <v>101-1513</v>
      </c>
      <c r="C115" s="37" t="str">
        <f>SmtRes!K65</f>
        <v>Электроды диаметром 4 мм Э42</v>
      </c>
      <c r="D115" s="35" t="str">
        <f>SmtRes!O65</f>
        <v>т</v>
      </c>
      <c r="E115" s="35">
        <f>SmtRes!Y65</f>
        <v>0.00044</v>
      </c>
      <c r="F115" s="35">
        <f>SmtRes!Y65*Source!I31</f>
        <v>0.0006336</v>
      </c>
      <c r="G115" s="38">
        <f>(SmtRes!AA65+SmtRes!AB65+SmtRes!AD65)</f>
        <v>73728.6</v>
      </c>
      <c r="H115" s="39">
        <f>(SmtRes!AA65*SmtRes!Y65*Source!I31+SmtRes!AB65*SmtRes!Y65*Source!I31+SmtRes!AD65*SmtRes!Y65*Source!I31)</f>
        <v>46.71444096</v>
      </c>
      <c r="I115" s="35"/>
      <c r="J115" s="35"/>
      <c r="K115" s="35"/>
      <c r="L115" s="39">
        <f>SmtRes!AA65*SmtRes!Y65*Source!I31</f>
        <v>46.71444096</v>
      </c>
      <c r="M115" s="35"/>
      <c r="N115" s="36"/>
    </row>
    <row r="116" spans="1:14" ht="30">
      <c r="A116" s="34"/>
      <c r="B116" s="37" t="str">
        <f>SmtRes!I66</f>
        <v>101-1714</v>
      </c>
      <c r="C116" s="37" t="str">
        <f>SmtRes!K66</f>
        <v>Болты с гайками и шайбами строительные</v>
      </c>
      <c r="D116" s="35" t="str">
        <f>SmtRes!O66</f>
        <v>т</v>
      </c>
      <c r="E116" s="35">
        <f>SmtRes!Y66</f>
        <v>0.021</v>
      </c>
      <c r="F116" s="35">
        <f>SmtRes!Y66*Source!I31</f>
        <v>0.03024</v>
      </c>
      <c r="G116" s="38">
        <f>(SmtRes!AA66+SmtRes!AB66+SmtRes!AD66)</f>
        <v>98305.08</v>
      </c>
      <c r="H116" s="39">
        <f>(SmtRes!AA66*SmtRes!Y66*Source!I31+SmtRes!AB66*SmtRes!Y66*Source!I31+SmtRes!AD66*SmtRes!Y66*Source!I31)</f>
        <v>2972.7456192</v>
      </c>
      <c r="I116" s="35"/>
      <c r="J116" s="35"/>
      <c r="K116" s="35"/>
      <c r="L116" s="39">
        <f>SmtRes!AA66*SmtRes!Y66*Source!I31</f>
        <v>2972.7456192</v>
      </c>
      <c r="M116" s="35"/>
      <c r="N116" s="36"/>
    </row>
    <row r="117" spans="1:14" ht="15">
      <c r="A117" s="34"/>
      <c r="B117" s="37" t="str">
        <f>SmtRes!I67</f>
        <v>101-1805</v>
      </c>
      <c r="C117" s="37" t="str">
        <f>SmtRes!K67</f>
        <v>Гвозди строительные</v>
      </c>
      <c r="D117" s="35" t="str">
        <f>SmtRes!O67</f>
        <v>т</v>
      </c>
      <c r="E117" s="35">
        <f>SmtRes!Y67</f>
        <v>1E-05</v>
      </c>
      <c r="F117" s="35">
        <f>SmtRes!Y67*Source!I31</f>
        <v>1.4400000000000001E-05</v>
      </c>
      <c r="G117" s="38">
        <f>(SmtRes!AA67+SmtRes!AB67+SmtRes!AD67)</f>
        <v>65000</v>
      </c>
      <c r="H117" s="39">
        <f>(SmtRes!AA67*SmtRes!Y67*Source!I31+SmtRes!AB67*SmtRes!Y67*Source!I31+SmtRes!AD67*SmtRes!Y67*Source!I31)</f>
        <v>0.9359999999999999</v>
      </c>
      <c r="I117" s="35"/>
      <c r="J117" s="35"/>
      <c r="K117" s="35"/>
      <c r="L117" s="39">
        <f>SmtRes!AA67*SmtRes!Y67*Source!I31</f>
        <v>0.9359999999999999</v>
      </c>
      <c r="M117" s="35"/>
      <c r="N117" s="36"/>
    </row>
    <row r="118" spans="1:14" ht="15">
      <c r="A118" s="34"/>
      <c r="B118" s="37" t="str">
        <f>SmtRes!I68</f>
        <v>101-2278</v>
      </c>
      <c r="C118" s="37" t="str">
        <f>SmtRes!K68</f>
        <v>Пропан-бутан, смесь техническая</v>
      </c>
      <c r="D118" s="35" t="str">
        <f>SmtRes!O68</f>
        <v>кг</v>
      </c>
      <c r="E118" s="35">
        <f>SmtRes!Y68</f>
        <v>0.36</v>
      </c>
      <c r="F118" s="35">
        <f>SmtRes!Y68*Source!I31</f>
        <v>0.5184</v>
      </c>
      <c r="G118" s="38">
        <f>(SmtRes!AA68+SmtRes!AB68+SmtRes!AD68)</f>
        <v>35</v>
      </c>
      <c r="H118" s="39">
        <f>(SmtRes!AA68*SmtRes!Y68*Source!I31+SmtRes!AB68*SmtRes!Y68*Source!I31+SmtRes!AD68*SmtRes!Y68*Source!I31)</f>
        <v>18.144</v>
      </c>
      <c r="I118" s="35"/>
      <c r="J118" s="35"/>
      <c r="K118" s="35"/>
      <c r="L118" s="39">
        <f>SmtRes!AA68*SmtRes!Y68*Source!I31</f>
        <v>18.144</v>
      </c>
      <c r="M118" s="35"/>
      <c r="N118" s="36"/>
    </row>
    <row r="119" spans="1:14" ht="15">
      <c r="A119" s="34"/>
      <c r="B119" s="37" t="str">
        <f>SmtRes!I69</f>
        <v>101-2467</v>
      </c>
      <c r="C119" s="37" t="str">
        <f>SmtRes!K69</f>
        <v>Растворитель марки Р-4</v>
      </c>
      <c r="D119" s="35" t="str">
        <f>SmtRes!O69</f>
        <v>т</v>
      </c>
      <c r="E119" s="35">
        <f>SmtRes!Y69</f>
        <v>0.0006</v>
      </c>
      <c r="F119" s="35">
        <f>SmtRes!Y69*Source!I31</f>
        <v>0.0008639999999999999</v>
      </c>
      <c r="G119" s="38">
        <f>(SmtRes!AA69+SmtRes!AB69+SmtRes!AD69)</f>
        <v>132200</v>
      </c>
      <c r="H119" s="39">
        <f>(SmtRes!AA69*SmtRes!Y69*Source!I31+SmtRes!AB69*SmtRes!Y69*Source!I31+SmtRes!AD69*SmtRes!Y69*Source!I31)</f>
        <v>114.22079999999998</v>
      </c>
      <c r="I119" s="35"/>
      <c r="J119" s="35"/>
      <c r="K119" s="35"/>
      <c r="L119" s="39">
        <f>SmtRes!AA69*SmtRes!Y69*Source!I31</f>
        <v>114.22079999999998</v>
      </c>
      <c r="M119" s="35"/>
      <c r="N119" s="36"/>
    </row>
    <row r="120" spans="1:14" ht="45">
      <c r="A120" s="34"/>
      <c r="B120" s="37" t="str">
        <f>SmtRes!I70</f>
        <v>102-0023</v>
      </c>
      <c r="C120" s="37" t="str">
        <f>SmtRes!K70</f>
        <v>Бруски обрезные хвойных пород длиной 4-6,5 м, шириной 75-150 мм, толщиной 40-75 мм, I сорта</v>
      </c>
      <c r="D120" s="35" t="str">
        <f>SmtRes!O70</f>
        <v>м3</v>
      </c>
      <c r="E120" s="35">
        <f>SmtRes!Y70</f>
        <v>0.00103</v>
      </c>
      <c r="F120" s="35">
        <f>SmtRes!Y70*Source!I31</f>
        <v>0.0014832</v>
      </c>
      <c r="G120" s="38">
        <f>(SmtRes!AA70+SmtRes!AB70+SmtRes!AD70)</f>
        <v>5762.71</v>
      </c>
      <c r="H120" s="39">
        <f>(SmtRes!AA70*SmtRes!Y70*Source!I31+SmtRes!AB70*SmtRes!Y70*Source!I31+SmtRes!AD70*SmtRes!Y70*Source!I31)</f>
        <v>8.547251472000001</v>
      </c>
      <c r="I120" s="35"/>
      <c r="J120" s="35"/>
      <c r="K120" s="35"/>
      <c r="L120" s="39">
        <f>SmtRes!AA70*SmtRes!Y70*Source!I31</f>
        <v>8.547251472000001</v>
      </c>
      <c r="M120" s="35"/>
      <c r="N120" s="36"/>
    </row>
    <row r="121" spans="1:14" ht="15">
      <c r="A121" s="34"/>
      <c r="B121" s="37" t="str">
        <f>SmtRes!I71</f>
        <v>113-0021</v>
      </c>
      <c r="C121" s="37" t="str">
        <f>SmtRes!K71</f>
        <v>Грунтовка ГФ-021 красно-коричневая</v>
      </c>
      <c r="D121" s="35" t="str">
        <f>SmtRes!O71</f>
        <v>т</v>
      </c>
      <c r="E121" s="35">
        <f>SmtRes!Y71</f>
        <v>0.00031</v>
      </c>
      <c r="F121" s="35">
        <f>SmtRes!Y71*Source!I31</f>
        <v>0.0004464</v>
      </c>
      <c r="G121" s="38">
        <f>(SmtRes!AA71+SmtRes!AB71+SmtRes!AD71)</f>
        <v>67779.66</v>
      </c>
      <c r="H121" s="39">
        <f>(SmtRes!AA71*SmtRes!Y71*Source!I31+SmtRes!AB71*SmtRes!Y71*Source!I31+SmtRes!AD71*SmtRes!Y71*Source!I31)</f>
        <v>30.256840224</v>
      </c>
      <c r="I121" s="35"/>
      <c r="J121" s="35"/>
      <c r="K121" s="35"/>
      <c r="L121" s="39">
        <f>SmtRes!AA71*SmtRes!Y71*Source!I31</f>
        <v>30.256840224</v>
      </c>
      <c r="M121" s="35"/>
      <c r="N121" s="36"/>
    </row>
    <row r="122" spans="1:14" ht="15">
      <c r="A122" s="40"/>
      <c r="B122" s="41" t="str">
        <f>SmtRes!I72</f>
        <v>201-9002</v>
      </c>
      <c r="C122" s="41" t="str">
        <f>SmtRes!K72</f>
        <v>Уголок 32*32*4</v>
      </c>
      <c r="D122" s="42" t="str">
        <f>SmtRes!O72</f>
        <v>т</v>
      </c>
      <c r="E122" s="42">
        <f>SmtRes!Y72</f>
        <v>1</v>
      </c>
      <c r="F122" s="42">
        <f>SmtRes!Y72*Source!I31</f>
        <v>1.44</v>
      </c>
      <c r="G122" s="43">
        <f>(SmtRes!AA72+SmtRes!AB72+SmtRes!AD72)</f>
        <v>31779.66</v>
      </c>
      <c r="H122" s="44">
        <f>(SmtRes!AA72*SmtRes!Y72*Source!I31+SmtRes!AB72*SmtRes!Y72*Source!I31+SmtRes!AD72*SmtRes!Y72*Source!I31)</f>
        <v>45762.710399999996</v>
      </c>
      <c r="I122" s="42"/>
      <c r="J122" s="42"/>
      <c r="K122" s="42"/>
      <c r="L122" s="44">
        <f>SmtRes!AA72*SmtRes!Y72*Source!I31</f>
        <v>45762.710399999996</v>
      </c>
      <c r="M122" s="42"/>
      <c r="N122" s="45"/>
    </row>
    <row r="123" spans="1:26" ht="156.75">
      <c r="A123" s="16" t="str">
        <f>IF(Source!E32&lt;&gt;"",Source!E32,"")</f>
        <v>10</v>
      </c>
      <c r="B123" s="16" t="str">
        <f>IF(Source!F32&lt;&gt;"",Source!F32,"")</f>
        <v>10-01-008-5</v>
      </c>
      <c r="C123" s="16" t="s">
        <v>589</v>
      </c>
      <c r="D123" s="17" t="str">
        <f>IF(Source!H32&lt;&gt;"",Source!H32,"")</f>
        <v>100 м2 стен, фронтонов (за вычетом проемов) и развернутых поверхностей карнизов</v>
      </c>
      <c r="E123" s="17" t="str">
        <f>IF(Source!J32=0," ",Source!J32)</f>
        <v> </v>
      </c>
      <c r="F123" s="18">
        <f>Source!I32</f>
        <v>1.444</v>
      </c>
      <c r="G123" s="19">
        <f>IF(Source!AB32=0," ",Source!AB32)</f>
        <v>53109.12</v>
      </c>
      <c r="H123" s="20">
        <f>IF(Source!O32=0," ",Source!O32)</f>
        <v>76689</v>
      </c>
      <c r="I123" s="20">
        <f>IF(Source!S32=0," ",Source!S32)</f>
        <v>29854</v>
      </c>
      <c r="J123" s="20">
        <f>IF(Source!Q32=0," ",Source!Q32)</f>
        <v>1151</v>
      </c>
      <c r="K123" s="20" t="str">
        <f>IF(Source!R32=0," ",Source!R32)</f>
        <v> </v>
      </c>
      <c r="L123" s="20">
        <f>IF(Source!P32=0," ",Source!P32)</f>
        <v>45684</v>
      </c>
      <c r="M123" s="21">
        <f>IF(Source!U32=0," ",ROUND(Source!U32,6))</f>
        <v>237.4658</v>
      </c>
      <c r="N123" s="21" t="str">
        <f>IF(Source!V32=0," ",ROUND(Source!V32,6))</f>
        <v> </v>
      </c>
      <c r="T123">
        <f>IF(Source!O32=0," ",Source!O32)</f>
        <v>76689</v>
      </c>
      <c r="U123">
        <v>45684</v>
      </c>
      <c r="V123">
        <f>IF(Source!S32=0," ",Source!S32)</f>
        <v>29854</v>
      </c>
      <c r="W123">
        <f>IF(Source!Q32=0," ",Source!Q32)</f>
        <v>1151</v>
      </c>
      <c r="X123" t="str">
        <f>IF(Source!R32=0," ",Source!R32)</f>
        <v> </v>
      </c>
      <c r="Y123">
        <f>IF(Source!U32=0," ",ROUND(Source!U32,6))</f>
        <v>237.4658</v>
      </c>
      <c r="Z123" t="str">
        <f>IF(Source!V32=0," ",ROUND(Source!V32,6))</f>
        <v> </v>
      </c>
    </row>
    <row r="124" spans="1:14" ht="15">
      <c r="A124" s="57"/>
      <c r="B124" s="57"/>
      <c r="C124" s="22" t="s">
        <v>154</v>
      </c>
      <c r="D124" s="23" t="str">
        <f>CONCATENATE(Source!AT32," %")</f>
        <v>106,2 %</v>
      </c>
      <c r="E124" s="23"/>
      <c r="F124" s="23"/>
      <c r="G124" s="23"/>
      <c r="H124" s="24">
        <f>Source!X32</f>
        <v>31705</v>
      </c>
      <c r="I124" s="57"/>
      <c r="J124" s="57"/>
      <c r="K124" s="57"/>
      <c r="L124" s="57"/>
      <c r="M124" s="57"/>
      <c r="N124" s="57"/>
    </row>
    <row r="125" spans="1:14" ht="15">
      <c r="A125" s="57"/>
      <c r="B125" s="57"/>
      <c r="C125" s="22" t="s">
        <v>156</v>
      </c>
      <c r="D125" s="23" t="str">
        <f>CONCATENATE(Source!AU32," %")</f>
        <v>53,55 %</v>
      </c>
      <c r="E125" s="23"/>
      <c r="F125" s="23"/>
      <c r="G125" s="23"/>
      <c r="H125" s="24">
        <f>Source!Y32</f>
        <v>15987</v>
      </c>
      <c r="I125" s="57"/>
      <c r="J125" s="57"/>
      <c r="K125" s="57"/>
      <c r="L125" s="57"/>
      <c r="M125" s="57"/>
      <c r="N125" s="57"/>
    </row>
    <row r="126" spans="1:14" ht="14.25">
      <c r="A126" s="58"/>
      <c r="B126" s="58"/>
      <c r="C126" s="25" t="s">
        <v>551</v>
      </c>
      <c r="D126" s="26"/>
      <c r="E126" s="26"/>
      <c r="F126" s="26"/>
      <c r="G126" s="26"/>
      <c r="H126" s="27">
        <f>SUMIF(Source!AA32:Source!AA32,"=27243028",Source!GM32:Source!GM32)</f>
        <v>124381</v>
      </c>
      <c r="I126" s="58"/>
      <c r="J126" s="58"/>
      <c r="K126" s="58"/>
      <c r="L126" s="58"/>
      <c r="M126" s="58"/>
      <c r="N126" s="58"/>
    </row>
    <row r="127" spans="1:14" ht="28.5">
      <c r="A127" s="28"/>
      <c r="B127" s="31" t="str">
        <f>SmtRes!I73</f>
        <v>1-1030-12</v>
      </c>
      <c r="C127" s="31" t="s">
        <v>590</v>
      </c>
      <c r="D127" s="29" t="str">
        <f>SmtRes!O73</f>
        <v>чел.-ч</v>
      </c>
      <c r="E127" s="29">
        <f>SmtRes!Y73</f>
        <v>164.45</v>
      </c>
      <c r="F127" s="29">
        <f>SmtRes!Y73*Source!I32</f>
        <v>237.46579999999997</v>
      </c>
      <c r="G127" s="32">
        <f>(SmtRes!AA73+SmtRes!AB73+SmtRes!AD73)</f>
        <v>125.72</v>
      </c>
      <c r="H127" s="33">
        <f>(SmtRes!AA73*SmtRes!Y73*Source!I32+SmtRes!AB73*SmtRes!Y73*Source!I32+SmtRes!AD73*SmtRes!Y73*Source!I32)</f>
        <v>29854.200375999997</v>
      </c>
      <c r="I127" s="33">
        <f>SmtRes!AD73*SmtRes!Y73*Source!I32</f>
        <v>29854.200375999997</v>
      </c>
      <c r="J127" s="29"/>
      <c r="K127" s="29"/>
      <c r="L127" s="29"/>
      <c r="M127" s="29"/>
      <c r="N127" s="30"/>
    </row>
    <row r="128" spans="1:14" ht="28.5">
      <c r="A128" s="34"/>
      <c r="B128" s="37" t="str">
        <f>SmtRes!I74</f>
        <v>331531</v>
      </c>
      <c r="C128" s="37" t="s">
        <v>591</v>
      </c>
      <c r="D128" s="35" t="str">
        <f>SmtRes!O74</f>
        <v>маш.-ч</v>
      </c>
      <c r="E128" s="35">
        <f>SmtRes!Y74</f>
        <v>1.7874999999999999</v>
      </c>
      <c r="F128" s="35">
        <f>SmtRes!Y74*Source!I32</f>
        <v>2.5811499999999996</v>
      </c>
      <c r="G128" s="38">
        <f>(SmtRes!AA74+SmtRes!AB74+SmtRes!AD74)</f>
        <v>6.4</v>
      </c>
      <c r="H128" s="39">
        <f>(SmtRes!AA74*SmtRes!Y74*Source!I32+SmtRes!AB74*SmtRes!Y74*Source!I32+SmtRes!AD74*SmtRes!Y74*Source!I32)</f>
        <v>16.51936</v>
      </c>
      <c r="I128" s="35"/>
      <c r="J128" s="39">
        <f>SmtRes!AB74*SmtRes!Y74*Source!I32</f>
        <v>16.51936</v>
      </c>
      <c r="K128" s="39">
        <f>SmtRes!AC74*SmtRes!Y74*Source!I32</f>
        <v>0</v>
      </c>
      <c r="L128" s="35"/>
      <c r="M128" s="35"/>
      <c r="N128" s="36"/>
    </row>
    <row r="129" spans="1:14" ht="43.5">
      <c r="A129" s="34"/>
      <c r="B129" s="37" t="str">
        <f>SmtRes!I75</f>
        <v>400001</v>
      </c>
      <c r="C129" s="37" t="s">
        <v>568</v>
      </c>
      <c r="D129" s="35" t="str">
        <f>SmtRes!O75</f>
        <v>маш.-ч.</v>
      </c>
      <c r="E129" s="35">
        <f>SmtRes!Y75</f>
        <v>1.125</v>
      </c>
      <c r="F129" s="35">
        <f>SmtRes!Y75*Source!I32</f>
        <v>1.6244999999999998</v>
      </c>
      <c r="G129" s="38">
        <f>(SmtRes!AA75+SmtRes!AB75+SmtRes!AD75)</f>
        <v>698.33</v>
      </c>
      <c r="H129" s="39">
        <f>(SmtRes!AA75*SmtRes!Y75*Source!I32+SmtRes!AB75*SmtRes!Y75*Source!I32+SmtRes!AD75*SmtRes!Y75*Source!I32)</f>
        <v>1134.437085</v>
      </c>
      <c r="I129" s="35"/>
      <c r="J129" s="39">
        <f>SmtRes!AB75*SmtRes!Y75*Source!I32</f>
        <v>1134.437085</v>
      </c>
      <c r="K129" s="39">
        <f>SmtRes!AC75*SmtRes!Y75*Source!I32</f>
        <v>0</v>
      </c>
      <c r="L129" s="35"/>
      <c r="M129" s="35"/>
      <c r="N129" s="36"/>
    </row>
    <row r="130" spans="1:14" ht="15">
      <c r="A130" s="34"/>
      <c r="B130" s="37" t="str">
        <f>SmtRes!I76</f>
        <v>101-1805</v>
      </c>
      <c r="C130" s="37" t="str">
        <f>SmtRes!K76</f>
        <v>Гвозди строительные</v>
      </c>
      <c r="D130" s="35" t="str">
        <f>SmtRes!O76</f>
        <v>т</v>
      </c>
      <c r="E130" s="35">
        <f>SmtRes!Y76</f>
        <v>0.0036</v>
      </c>
      <c r="F130" s="35">
        <f>SmtRes!Y76*Source!I32</f>
        <v>0.0051984</v>
      </c>
      <c r="G130" s="38">
        <f>(SmtRes!AA76+SmtRes!AB76+SmtRes!AD76)</f>
        <v>65000</v>
      </c>
      <c r="H130" s="39">
        <f>(SmtRes!AA76*SmtRes!Y76*Source!I32+SmtRes!AB76*SmtRes!Y76*Source!I32+SmtRes!AD76*SmtRes!Y76*Source!I32)</f>
        <v>337.896</v>
      </c>
      <c r="I130" s="35"/>
      <c r="J130" s="35"/>
      <c r="K130" s="35"/>
      <c r="L130" s="39">
        <f>SmtRes!AA76*SmtRes!Y76*Source!I32</f>
        <v>337.896</v>
      </c>
      <c r="M130" s="35"/>
      <c r="N130" s="36"/>
    </row>
    <row r="131" spans="1:14" ht="15">
      <c r="A131" s="34"/>
      <c r="B131" s="37" t="str">
        <f>SmtRes!I77</f>
        <v>102-0048</v>
      </c>
      <c r="C131" s="37" t="str">
        <f>SmtRes!K77</f>
        <v>Брус 50*50</v>
      </c>
      <c r="D131" s="35" t="str">
        <f>SmtRes!O77</f>
        <v>м3</v>
      </c>
      <c r="E131" s="35">
        <f>SmtRes!Y77</f>
        <v>1.5</v>
      </c>
      <c r="F131" s="35">
        <f>SmtRes!Y77*Source!I32</f>
        <v>2.166</v>
      </c>
      <c r="G131" s="38">
        <f>(SmtRes!AA77+SmtRes!AB77+SmtRes!AD77)</f>
        <v>5762.71</v>
      </c>
      <c r="H131" s="39">
        <f>(SmtRes!AA77*SmtRes!Y77*Source!I32+SmtRes!AB77*SmtRes!Y77*Source!I32+SmtRes!AD77*SmtRes!Y77*Source!I32)</f>
        <v>12482.02986</v>
      </c>
      <c r="I131" s="35"/>
      <c r="J131" s="35"/>
      <c r="K131" s="35"/>
      <c r="L131" s="39">
        <f>SmtRes!AA77*SmtRes!Y77*Source!I32</f>
        <v>12482.02986</v>
      </c>
      <c r="M131" s="35"/>
      <c r="N131" s="36"/>
    </row>
    <row r="132" spans="1:14" ht="15">
      <c r="A132" s="34"/>
      <c r="B132" s="37" t="str">
        <f>SmtRes!I78</f>
        <v>102-0060</v>
      </c>
      <c r="C132" s="37" t="str">
        <f>SmtRes!K78</f>
        <v>Плита ОSВ</v>
      </c>
      <c r="D132" s="35" t="str">
        <f>SmtRes!O78</f>
        <v>м2</v>
      </c>
      <c r="E132" s="35">
        <f>SmtRes!Y78</f>
        <v>106</v>
      </c>
      <c r="F132" s="35">
        <f>SmtRes!Y78*Source!I32</f>
        <v>153.064</v>
      </c>
      <c r="G132" s="38">
        <f>(SmtRes!AA78+SmtRes!AB78+SmtRes!AD78)</f>
        <v>203.39</v>
      </c>
      <c r="H132" s="39">
        <f>(SmtRes!AA78*SmtRes!Y78*Source!I32+SmtRes!AB78*SmtRes!Y78*Source!I32+SmtRes!AD78*SmtRes!Y78*Source!I32)</f>
        <v>31131.68696</v>
      </c>
      <c r="I132" s="35"/>
      <c r="J132" s="35"/>
      <c r="K132" s="35"/>
      <c r="L132" s="39">
        <f>SmtRes!AA78*SmtRes!Y78*Source!I32</f>
        <v>31131.68696</v>
      </c>
      <c r="M132" s="35"/>
      <c r="N132" s="36"/>
    </row>
    <row r="133" spans="1:14" ht="15">
      <c r="A133" s="40"/>
      <c r="B133" s="41" t="str">
        <f>SmtRes!I79</f>
        <v>203-0367</v>
      </c>
      <c r="C133" s="41" t="str">
        <f>SmtRes!K79</f>
        <v>Анкерный болт</v>
      </c>
      <c r="D133" s="42" t="str">
        <f>SmtRes!O79</f>
        <v>шт.</v>
      </c>
      <c r="E133" s="42">
        <f>SmtRes!Y79</f>
        <v>100</v>
      </c>
      <c r="F133" s="42">
        <f>SmtRes!Y79*Source!I32</f>
        <v>144.4</v>
      </c>
      <c r="G133" s="43">
        <f>(SmtRes!AA79+SmtRes!AB79+SmtRes!AD79)</f>
        <v>12</v>
      </c>
      <c r="H133" s="44">
        <f>(SmtRes!AA79*SmtRes!Y79*Source!I32+SmtRes!AB79*SmtRes!Y79*Source!I32+SmtRes!AD79*SmtRes!Y79*Source!I32)</f>
        <v>1732.8</v>
      </c>
      <c r="I133" s="42"/>
      <c r="J133" s="42"/>
      <c r="K133" s="42"/>
      <c r="L133" s="44">
        <f>SmtRes!AA79*SmtRes!Y79*Source!I32</f>
        <v>1732.8</v>
      </c>
      <c r="M133" s="42"/>
      <c r="N133" s="45"/>
    </row>
    <row r="134" spans="1:26" ht="68.25">
      <c r="A134" s="16" t="str">
        <f>IF(Source!E33&lt;&gt;"",Source!E33,"")</f>
        <v>11</v>
      </c>
      <c r="B134" s="16" t="str">
        <f>IF(Source!F33&lt;&gt;"",Source!F33,"")</f>
        <v>12-01-021-1</v>
      </c>
      <c r="C134" s="16" t="s">
        <v>592</v>
      </c>
      <c r="D134" s="17" t="str">
        <f>IF(Source!H33&lt;&gt;"",Source!H33,"")</f>
        <v>100 м2 кровли</v>
      </c>
      <c r="E134" s="17" t="str">
        <f>IF(Source!J33=0," ",Source!J33)</f>
        <v> </v>
      </c>
      <c r="F134" s="18">
        <f>Source!I33</f>
        <v>6.73</v>
      </c>
      <c r="G134" s="19">
        <f>IF(Source!AB33=0," ",Source!AB33)</f>
        <v>231863.35</v>
      </c>
      <c r="H134" s="20">
        <f>IF(Source!O33=0," ",Source!O33)</f>
        <v>1560440</v>
      </c>
      <c r="I134" s="20">
        <f>IF(Source!S33=0," ",Source!S33)</f>
        <v>63070</v>
      </c>
      <c r="J134" s="20">
        <f>IF(Source!Q33=0," ",Source!Q33)</f>
        <v>3631</v>
      </c>
      <c r="K134" s="20" t="str">
        <f>IF(Source!R33=0," ",Source!R33)</f>
        <v> </v>
      </c>
      <c r="L134" s="20">
        <f>IF(Source!P33=0," ",Source!P33)</f>
        <v>1493739</v>
      </c>
      <c r="M134" s="21">
        <f>IF(Source!U33=0," ",ROUND(Source!U33,6))</f>
        <v>476.7532</v>
      </c>
      <c r="N134" s="21">
        <f>IF(Source!V33=0," ",ROUND(Source!V33,6))</f>
        <v>0.84125</v>
      </c>
      <c r="T134">
        <f>IF(Source!O33=0," ",Source!O33)</f>
        <v>1560440</v>
      </c>
      <c r="U134">
        <v>1493739</v>
      </c>
      <c r="V134">
        <f>IF(Source!S33=0," ",Source!S33)</f>
        <v>63070</v>
      </c>
      <c r="W134">
        <f>IF(Source!Q33=0," ",Source!Q33)</f>
        <v>3631</v>
      </c>
      <c r="X134" t="str">
        <f>IF(Source!R33=0," ",Source!R33)</f>
        <v> </v>
      </c>
      <c r="Y134">
        <f>IF(Source!U33=0," ",ROUND(Source!U33,6))</f>
        <v>476.7532</v>
      </c>
      <c r="Z134">
        <f>IF(Source!V33=0," ",ROUND(Source!V33,6))</f>
        <v>0.84125</v>
      </c>
    </row>
    <row r="135" spans="1:14" ht="15">
      <c r="A135" s="57"/>
      <c r="B135" s="57"/>
      <c r="C135" s="22" t="s">
        <v>154</v>
      </c>
      <c r="D135" s="23" t="str">
        <f>CONCATENATE(Source!AT33," %")</f>
        <v>108 %</v>
      </c>
      <c r="E135" s="23"/>
      <c r="F135" s="23"/>
      <c r="G135" s="23"/>
      <c r="H135" s="24">
        <f>Source!X33</f>
        <v>68116</v>
      </c>
      <c r="I135" s="57"/>
      <c r="J135" s="57"/>
      <c r="K135" s="57"/>
      <c r="L135" s="57"/>
      <c r="M135" s="57"/>
      <c r="N135" s="57"/>
    </row>
    <row r="136" spans="1:14" ht="15">
      <c r="A136" s="57"/>
      <c r="B136" s="57"/>
      <c r="C136" s="22" t="s">
        <v>156</v>
      </c>
      <c r="D136" s="23" t="str">
        <f>CONCATENATE(Source!AU33," %")</f>
        <v>55,25 %</v>
      </c>
      <c r="E136" s="23"/>
      <c r="F136" s="23"/>
      <c r="G136" s="23"/>
      <c r="H136" s="24">
        <f>Source!Y33</f>
        <v>34846</v>
      </c>
      <c r="I136" s="57"/>
      <c r="J136" s="57"/>
      <c r="K136" s="57"/>
      <c r="L136" s="57"/>
      <c r="M136" s="57"/>
      <c r="N136" s="57"/>
    </row>
    <row r="137" spans="1:14" ht="14.25">
      <c r="A137" s="58"/>
      <c r="B137" s="58"/>
      <c r="C137" s="25" t="s">
        <v>551</v>
      </c>
      <c r="D137" s="26"/>
      <c r="E137" s="26"/>
      <c r="F137" s="26"/>
      <c r="G137" s="26"/>
      <c r="H137" s="27">
        <f>SUMIF(Source!AA33:Source!AA33,"=27243028",Source!GM33:Source!GM33)</f>
        <v>1663402</v>
      </c>
      <c r="I137" s="58"/>
      <c r="J137" s="58"/>
      <c r="K137" s="58"/>
      <c r="L137" s="58"/>
      <c r="M137" s="58"/>
      <c r="N137" s="58"/>
    </row>
    <row r="138" spans="1:14" ht="43.5">
      <c r="A138" s="28"/>
      <c r="B138" s="31" t="str">
        <f>SmtRes!I80</f>
        <v>1-1034-12</v>
      </c>
      <c r="C138" s="31" t="s">
        <v>570</v>
      </c>
      <c r="D138" s="29" t="str">
        <f>SmtRes!O80</f>
        <v>чел.-ч</v>
      </c>
      <c r="E138" s="29">
        <f>SmtRes!Y80</f>
        <v>70.83999999999999</v>
      </c>
      <c r="F138" s="29">
        <f>SmtRes!Y80*Source!I33</f>
        <v>476.75319999999994</v>
      </c>
      <c r="G138" s="32">
        <f>(SmtRes!AA80+SmtRes!AB80+SmtRes!AD80)</f>
        <v>132.29</v>
      </c>
      <c r="H138" s="33">
        <f>(SmtRes!AA80*SmtRes!Y80*Source!I33+SmtRes!AB80*SmtRes!Y80*Source!I33+SmtRes!AD80*SmtRes!Y80*Source!I33)</f>
        <v>63069.68082799999</v>
      </c>
      <c r="I138" s="33">
        <f>SmtRes!AD80*SmtRes!Y80*Source!I33</f>
        <v>63069.68082799999</v>
      </c>
      <c r="J138" s="29"/>
      <c r="K138" s="29"/>
      <c r="L138" s="29"/>
      <c r="M138" s="29"/>
      <c r="N138" s="30"/>
    </row>
    <row r="139" spans="1:14" ht="28.5">
      <c r="A139" s="34"/>
      <c r="B139" s="37" t="str">
        <f>SmtRes!I81</f>
        <v>2</v>
      </c>
      <c r="C139" s="37" t="s">
        <v>559</v>
      </c>
      <c r="D139" s="35" t="str">
        <f>SmtRes!O81</f>
        <v>чел.час</v>
      </c>
      <c r="E139" s="35">
        <f>SmtRes!Y81</f>
        <v>0.125</v>
      </c>
      <c r="F139" s="35">
        <f>SmtRes!Y81*Source!I33</f>
        <v>0.84125</v>
      </c>
      <c r="G139" s="38">
        <f>(SmtRes!AA81+SmtRes!AB81+SmtRes!AD81)</f>
        <v>0</v>
      </c>
      <c r="H139" s="39">
        <f>(SmtRes!AA81*SmtRes!Y81*Source!I33+SmtRes!AB81*SmtRes!Y81*Source!I33+SmtRes!AD81*SmtRes!Y81*Source!I33)</f>
        <v>0</v>
      </c>
      <c r="I139" s="35"/>
      <c r="J139" s="35"/>
      <c r="K139" s="39">
        <f>SmtRes!AC81*SmtRes!Y81*Source!I33</f>
        <v>0</v>
      </c>
      <c r="L139" s="35"/>
      <c r="M139" s="35"/>
      <c r="N139" s="36"/>
    </row>
    <row r="140" spans="1:14" ht="43.5">
      <c r="A140" s="34"/>
      <c r="B140" s="37" t="str">
        <f>SmtRes!I82</f>
        <v>020129</v>
      </c>
      <c r="C140" s="37" t="s">
        <v>574</v>
      </c>
      <c r="D140" s="35" t="str">
        <f>SmtRes!O82</f>
        <v>маш.-ч</v>
      </c>
      <c r="E140" s="35">
        <f>SmtRes!Y82</f>
        <v>0.08750000000000001</v>
      </c>
      <c r="F140" s="35">
        <f>SmtRes!Y82*Source!I33</f>
        <v>0.5888750000000001</v>
      </c>
      <c r="G140" s="38">
        <f>(SmtRes!AA82+SmtRes!AB82+SmtRes!AD82)</f>
        <v>849.15</v>
      </c>
      <c r="H140" s="39">
        <f>(SmtRes!AA82*SmtRes!Y82*Source!I33+SmtRes!AB82*SmtRes!Y82*Source!I33+SmtRes!AD82*SmtRes!Y82*Source!I33)</f>
        <v>500.0432062500001</v>
      </c>
      <c r="I140" s="35"/>
      <c r="J140" s="39">
        <f>SmtRes!AB82*SmtRes!Y82*Source!I33</f>
        <v>500.0432062500001</v>
      </c>
      <c r="K140" s="39">
        <f>SmtRes!AC82*SmtRes!Y82*Source!I33</f>
        <v>0</v>
      </c>
      <c r="L140" s="35"/>
      <c r="M140" s="35"/>
      <c r="N140" s="36"/>
    </row>
    <row r="141" spans="1:14" ht="43.5">
      <c r="A141" s="34"/>
      <c r="B141" s="37" t="str">
        <f>SmtRes!I83</f>
        <v>021141</v>
      </c>
      <c r="C141" s="37" t="s">
        <v>593</v>
      </c>
      <c r="D141" s="35" t="str">
        <f>SmtRes!O83</f>
        <v>маш.-ч.</v>
      </c>
      <c r="E141" s="35">
        <f>SmtRes!Y83</f>
        <v>0.0375</v>
      </c>
      <c r="F141" s="35">
        <f>SmtRes!Y83*Source!I33</f>
        <v>0.252375</v>
      </c>
      <c r="G141" s="38">
        <f>(SmtRes!AA83+SmtRes!AB83+SmtRes!AD83)</f>
        <v>636.03</v>
      </c>
      <c r="H141" s="39">
        <f>(SmtRes!AA83*SmtRes!Y83*Source!I33+SmtRes!AB83*SmtRes!Y83*Source!I33+SmtRes!AD83*SmtRes!Y83*Source!I33)</f>
        <v>160.51807125000002</v>
      </c>
      <c r="I141" s="35"/>
      <c r="J141" s="39">
        <f>SmtRes!AB83*SmtRes!Y83*Source!I33</f>
        <v>160.51807125000002</v>
      </c>
      <c r="K141" s="39">
        <f>SmtRes!AC83*SmtRes!Y83*Source!I33</f>
        <v>0</v>
      </c>
      <c r="L141" s="35"/>
      <c r="M141" s="35"/>
      <c r="N141" s="36"/>
    </row>
    <row r="142" spans="1:14" ht="28.5">
      <c r="A142" s="34"/>
      <c r="B142" s="37" t="str">
        <f>SmtRes!I84</f>
        <v>150401</v>
      </c>
      <c r="C142" s="37" t="s">
        <v>594</v>
      </c>
      <c r="D142" s="35" t="str">
        <f>SmtRes!O84</f>
        <v>маш.-ч.</v>
      </c>
      <c r="E142" s="35">
        <f>SmtRes!Y84</f>
        <v>2</v>
      </c>
      <c r="F142" s="35">
        <f>SmtRes!Y84*Source!I33</f>
        <v>13.46</v>
      </c>
      <c r="G142" s="38">
        <f>(SmtRes!AA84+SmtRes!AB84+SmtRes!AD84)</f>
        <v>12.61</v>
      </c>
      <c r="H142" s="39">
        <f>(SmtRes!AA84*SmtRes!Y84*Source!I33+SmtRes!AB84*SmtRes!Y84*Source!I33+SmtRes!AD84*SmtRes!Y84*Source!I33)</f>
        <v>169.7306</v>
      </c>
      <c r="I142" s="35"/>
      <c r="J142" s="39">
        <f>SmtRes!AB84*SmtRes!Y84*Source!I33</f>
        <v>169.7306</v>
      </c>
      <c r="K142" s="39">
        <f>SmtRes!AC84*SmtRes!Y84*Source!I33</f>
        <v>0</v>
      </c>
      <c r="L142" s="35"/>
      <c r="M142" s="35"/>
      <c r="N142" s="36"/>
    </row>
    <row r="143" spans="1:14" ht="28.5">
      <c r="A143" s="34"/>
      <c r="B143" s="37" t="str">
        <f>SmtRes!I85</f>
        <v>330206</v>
      </c>
      <c r="C143" s="37" t="s">
        <v>567</v>
      </c>
      <c r="D143" s="35" t="str">
        <f>SmtRes!O85</f>
        <v>маш.-ч</v>
      </c>
      <c r="E143" s="35">
        <f>SmtRes!Y85</f>
        <v>10.125</v>
      </c>
      <c r="F143" s="35">
        <f>SmtRes!Y85*Source!I33</f>
        <v>68.14125</v>
      </c>
      <c r="G143" s="38">
        <f>(SmtRes!AA85+SmtRes!AB85+SmtRes!AD85)</f>
        <v>7.94</v>
      </c>
      <c r="H143" s="39">
        <f>(SmtRes!AA85*SmtRes!Y85*Source!I33+SmtRes!AB85*SmtRes!Y85*Source!I33+SmtRes!AD85*SmtRes!Y85*Source!I33)</f>
        <v>541.041525</v>
      </c>
      <c r="I143" s="35"/>
      <c r="J143" s="39">
        <f>SmtRes!AB85*SmtRes!Y85*Source!I33</f>
        <v>541.041525</v>
      </c>
      <c r="K143" s="39">
        <f>SmtRes!AC85*SmtRes!Y85*Source!I33</f>
        <v>0</v>
      </c>
      <c r="L143" s="35"/>
      <c r="M143" s="35"/>
      <c r="N143" s="36"/>
    </row>
    <row r="144" spans="1:14" ht="28.5">
      <c r="A144" s="34"/>
      <c r="B144" s="37" t="str">
        <f>SmtRes!I86</f>
        <v>331002</v>
      </c>
      <c r="C144" s="37" t="s">
        <v>595</v>
      </c>
      <c r="D144" s="35" t="str">
        <f>SmtRes!O86</f>
        <v>маш.-ч</v>
      </c>
      <c r="E144" s="35">
        <f>SmtRes!Y86</f>
        <v>1.2875</v>
      </c>
      <c r="F144" s="35">
        <f>SmtRes!Y86*Source!I33</f>
        <v>8.664875</v>
      </c>
      <c r="G144" s="38">
        <f>(SmtRes!AA86+SmtRes!AB86+SmtRes!AD86)</f>
        <v>10.87</v>
      </c>
      <c r="H144" s="39">
        <f>(SmtRes!AA86*SmtRes!Y86*Source!I33+SmtRes!AB86*SmtRes!Y86*Source!I33+SmtRes!AD86*SmtRes!Y86*Source!I33)</f>
        <v>94.18719125</v>
      </c>
      <c r="I144" s="35"/>
      <c r="J144" s="39">
        <f>SmtRes!AB86*SmtRes!Y86*Source!I33</f>
        <v>94.18719125</v>
      </c>
      <c r="K144" s="39">
        <f>SmtRes!AC86*SmtRes!Y86*Source!I33</f>
        <v>0</v>
      </c>
      <c r="L144" s="35"/>
      <c r="M144" s="35"/>
      <c r="N144" s="36"/>
    </row>
    <row r="145" spans="1:14" ht="28.5">
      <c r="A145" s="34"/>
      <c r="B145" s="37" t="str">
        <f>SmtRes!I87</f>
        <v>331451</v>
      </c>
      <c r="C145" s="37" t="s">
        <v>596</v>
      </c>
      <c r="D145" s="35" t="str">
        <f>SmtRes!O87</f>
        <v>маш.-ч</v>
      </c>
      <c r="E145" s="35">
        <f>SmtRes!Y87</f>
        <v>24.25</v>
      </c>
      <c r="F145" s="35">
        <f>SmtRes!Y87*Source!I33</f>
        <v>163.20250000000001</v>
      </c>
      <c r="G145" s="38">
        <f>(SmtRes!AA87+SmtRes!AB87+SmtRes!AD87)</f>
        <v>8.79</v>
      </c>
      <c r="H145" s="39">
        <f>(SmtRes!AA87*SmtRes!Y87*Source!I33+SmtRes!AB87*SmtRes!Y87*Source!I33+SmtRes!AD87*SmtRes!Y87*Source!I33)</f>
        <v>1434.549975</v>
      </c>
      <c r="I145" s="35"/>
      <c r="J145" s="39">
        <f>SmtRes!AB87*SmtRes!Y87*Source!I33</f>
        <v>1434.549975</v>
      </c>
      <c r="K145" s="39">
        <f>SmtRes!AC87*SmtRes!Y87*Source!I33</f>
        <v>0</v>
      </c>
      <c r="L145" s="35"/>
      <c r="M145" s="35"/>
      <c r="N145" s="36"/>
    </row>
    <row r="146" spans="1:14" ht="28.5">
      <c r="A146" s="34"/>
      <c r="B146" s="37" t="str">
        <f>SmtRes!I88</f>
        <v>360202</v>
      </c>
      <c r="C146" s="37" t="s">
        <v>597</v>
      </c>
      <c r="D146" s="35" t="str">
        <f>SmtRes!O88</f>
        <v>маш.-ч.</v>
      </c>
      <c r="E146" s="35">
        <f>SmtRes!Y88</f>
        <v>1.4625</v>
      </c>
      <c r="F146" s="35">
        <f>SmtRes!Y88*Source!I33</f>
        <v>9.842625</v>
      </c>
      <c r="G146" s="38">
        <f>(SmtRes!AA88+SmtRes!AB88+SmtRes!AD88)</f>
        <v>50.42</v>
      </c>
      <c r="H146" s="39">
        <f>(SmtRes!AA88*SmtRes!Y88*Source!I33+SmtRes!AB88*SmtRes!Y88*Source!I33+SmtRes!AD88*SmtRes!Y88*Source!I33)</f>
        <v>496.2651525</v>
      </c>
      <c r="I146" s="35"/>
      <c r="J146" s="39">
        <f>SmtRes!AB88*SmtRes!Y88*Source!I33</f>
        <v>496.2651525</v>
      </c>
      <c r="K146" s="39">
        <f>SmtRes!AC88*SmtRes!Y88*Source!I33</f>
        <v>0</v>
      </c>
      <c r="L146" s="35"/>
      <c r="M146" s="35"/>
      <c r="N146" s="36"/>
    </row>
    <row r="147" spans="1:14" ht="43.5">
      <c r="A147" s="34"/>
      <c r="B147" s="37" t="str">
        <f>SmtRes!I89</f>
        <v>400001</v>
      </c>
      <c r="C147" s="37" t="s">
        <v>568</v>
      </c>
      <c r="D147" s="35" t="str">
        <f>SmtRes!O89</f>
        <v>маш.-ч.</v>
      </c>
      <c r="E147" s="35">
        <f>SmtRes!Y89</f>
        <v>0.05</v>
      </c>
      <c r="F147" s="35">
        <f>SmtRes!Y89*Source!I33</f>
        <v>0.3365</v>
      </c>
      <c r="G147" s="38">
        <f>(SmtRes!AA89+SmtRes!AB89+SmtRes!AD89)</f>
        <v>698.33</v>
      </c>
      <c r="H147" s="39">
        <f>(SmtRes!AA89*SmtRes!Y89*Source!I33+SmtRes!AB89*SmtRes!Y89*Source!I33+SmtRes!AD89*SmtRes!Y89*Source!I33)</f>
        <v>234.98804500000006</v>
      </c>
      <c r="I147" s="35"/>
      <c r="J147" s="39">
        <f>SmtRes!AB89*SmtRes!Y89*Source!I33</f>
        <v>234.98804500000006</v>
      </c>
      <c r="K147" s="39">
        <f>SmtRes!AC89*SmtRes!Y89*Source!I33</f>
        <v>0</v>
      </c>
      <c r="L147" s="35"/>
      <c r="M147" s="35"/>
      <c r="N147" s="36"/>
    </row>
    <row r="148" spans="1:14" ht="15">
      <c r="A148" s="34"/>
      <c r="B148" s="37">
        <f>SmtRes!I90</f>
      </c>
      <c r="C148" s="37" t="str">
        <f>SmtRes!K90</f>
        <v>Мембрана ЭПДМ</v>
      </c>
      <c r="D148" s="35" t="str">
        <f>SmtRes!O90</f>
        <v>м2</v>
      </c>
      <c r="E148" s="35">
        <f>SmtRes!Y90</f>
        <v>128</v>
      </c>
      <c r="F148" s="35">
        <f>SmtRes!Y90*Source!I33</f>
        <v>861.44</v>
      </c>
      <c r="G148" s="38">
        <f>(SmtRes!AA90+SmtRes!AB90+SmtRes!AD90)</f>
        <v>458.14</v>
      </c>
      <c r="H148" s="39">
        <f>(SmtRes!AA90*SmtRes!Y90*Source!I33+SmtRes!AB90*SmtRes!Y90*Source!I33+SmtRes!AD90*SmtRes!Y90*Source!I33)</f>
        <v>394660.1216</v>
      </c>
      <c r="I148" s="35"/>
      <c r="J148" s="35"/>
      <c r="K148" s="35"/>
      <c r="L148" s="39">
        <f>SmtRes!AA90*SmtRes!Y90*Source!I33</f>
        <v>394660.1216</v>
      </c>
      <c r="M148" s="35"/>
      <c r="N148" s="36"/>
    </row>
    <row r="149" spans="1:14" ht="15">
      <c r="A149" s="34"/>
      <c r="B149" s="37">
        <f>SmtRes!I91</f>
      </c>
      <c r="C149" s="37" t="str">
        <f>SmtRes!K91</f>
        <v>ЭПДМ формфлэш</v>
      </c>
      <c r="D149" s="35" t="str">
        <f>SmtRes!O91</f>
        <v>м</v>
      </c>
      <c r="E149" s="35">
        <f>SmtRes!Y91</f>
        <v>6.14</v>
      </c>
      <c r="F149" s="35">
        <f>SmtRes!Y91*Source!I33</f>
        <v>41.3222</v>
      </c>
      <c r="G149" s="38">
        <f>(SmtRes!AA91+SmtRes!AB91+SmtRes!AD91)</f>
        <v>666.32</v>
      </c>
      <c r="H149" s="39">
        <f>(SmtRes!AA91*SmtRes!Y91*Source!I33+SmtRes!AB91*SmtRes!Y91*Source!I33+SmtRes!AD91*SmtRes!Y91*Source!I33)</f>
        <v>27533.808304000002</v>
      </c>
      <c r="I149" s="35"/>
      <c r="J149" s="35"/>
      <c r="K149" s="35"/>
      <c r="L149" s="39">
        <f>SmtRes!AA91*SmtRes!Y91*Source!I33</f>
        <v>27533.808304000002</v>
      </c>
      <c r="M149" s="35"/>
      <c r="N149" s="36"/>
    </row>
    <row r="150" spans="1:14" ht="15">
      <c r="A150" s="34"/>
      <c r="B150" s="37">
        <f>SmtRes!I92</f>
      </c>
      <c r="C150" s="37" t="str">
        <f>SmtRes!K92</f>
        <v>Полоса из невулканизированной резины</v>
      </c>
      <c r="D150" s="35" t="str">
        <f>SmtRes!O92</f>
        <v>м</v>
      </c>
      <c r="E150" s="35">
        <f>SmtRes!Y92</f>
        <v>134</v>
      </c>
      <c r="F150" s="35">
        <f>SmtRes!Y92*Source!I33</f>
        <v>901.82</v>
      </c>
      <c r="G150" s="38">
        <f>(SmtRes!AA92+SmtRes!AB92+SmtRes!AD92)</f>
        <v>262.19</v>
      </c>
      <c r="H150" s="39">
        <f>(SmtRes!AA92*SmtRes!Y92*Source!I33+SmtRes!AB92*SmtRes!Y92*Source!I33+SmtRes!AD92*SmtRes!Y92*Source!I33)</f>
        <v>236448.1858</v>
      </c>
      <c r="I150" s="35"/>
      <c r="J150" s="35"/>
      <c r="K150" s="35"/>
      <c r="L150" s="39">
        <f>SmtRes!AA92*SmtRes!Y92*Source!I33</f>
        <v>236448.1858</v>
      </c>
      <c r="M150" s="35"/>
      <c r="N150" s="36"/>
    </row>
    <row r="151" spans="1:14" ht="15">
      <c r="A151" s="34"/>
      <c r="B151" s="37">
        <f>SmtRes!I93</f>
      </c>
      <c r="C151" s="37" t="str">
        <f>SmtRes!K93</f>
        <v>Рейка металлическая</v>
      </c>
      <c r="D151" s="35" t="str">
        <f>SmtRes!O93</f>
        <v>м</v>
      </c>
      <c r="E151" s="35">
        <f>SmtRes!Y93</f>
        <v>67</v>
      </c>
      <c r="F151" s="35">
        <f>SmtRes!Y93*Source!I33</f>
        <v>450.91</v>
      </c>
      <c r="G151" s="38">
        <f>(SmtRes!AA93+SmtRes!AB93+SmtRes!AD93)</f>
        <v>206.45</v>
      </c>
      <c r="H151" s="39">
        <f>(SmtRes!AA93*SmtRes!Y93*Source!I33+SmtRes!AB93*SmtRes!Y93*Source!I33+SmtRes!AD93*SmtRes!Y93*Source!I33)</f>
        <v>93090.3695</v>
      </c>
      <c r="I151" s="35"/>
      <c r="J151" s="35"/>
      <c r="K151" s="35"/>
      <c r="L151" s="39">
        <f>SmtRes!AA93*SmtRes!Y93*Source!I33</f>
        <v>93090.3695</v>
      </c>
      <c r="M151" s="35"/>
      <c r="N151" s="36"/>
    </row>
    <row r="152" spans="1:14" ht="15">
      <c r="A152" s="34"/>
      <c r="B152" s="37">
        <f>SmtRes!I94</f>
      </c>
      <c r="C152" s="37" t="str">
        <f>SmtRes!K94</f>
        <v>Дюбель гвоздь потай 8*160</v>
      </c>
      <c r="D152" s="35" t="str">
        <f>SmtRes!O94</f>
        <v>шт.</v>
      </c>
      <c r="E152" s="35">
        <f>SmtRes!Y94</f>
        <v>335.00404203718676</v>
      </c>
      <c r="F152" s="35">
        <f>SmtRes!Y94*Source!I33</f>
        <v>2254.5772029102673</v>
      </c>
      <c r="G152" s="38">
        <f>(SmtRes!AA94+SmtRes!AB94+SmtRes!AD94)</f>
        <v>13.39</v>
      </c>
      <c r="H152" s="39">
        <f>(SmtRes!AA94*SmtRes!Y94*Source!I33+SmtRes!AB94*SmtRes!Y94*Source!I33+SmtRes!AD94*SmtRes!Y94*Source!I33)</f>
        <v>30188.788746968476</v>
      </c>
      <c r="I152" s="35"/>
      <c r="J152" s="35"/>
      <c r="K152" s="35"/>
      <c r="L152" s="39">
        <f>SmtRes!AA94*SmtRes!Y94*Source!I33</f>
        <v>30188.788746968476</v>
      </c>
      <c r="M152" s="35"/>
      <c r="N152" s="36"/>
    </row>
    <row r="153" spans="1:14" ht="15">
      <c r="A153" s="34"/>
      <c r="B153" s="37">
        <f>SmtRes!I95</f>
      </c>
      <c r="C153" s="37" t="str">
        <f>SmtRes!K95</f>
        <v>Очиститель</v>
      </c>
      <c r="D153" s="35" t="str">
        <f>SmtRes!O95</f>
        <v>л</v>
      </c>
      <c r="E153" s="35">
        <f>SmtRes!Y95</f>
        <v>0.63</v>
      </c>
      <c r="F153" s="35">
        <f>SmtRes!Y95*Source!I33</f>
        <v>4.2399000000000004</v>
      </c>
      <c r="G153" s="38">
        <f>(SmtRes!AA95+SmtRes!AB95+SmtRes!AD95)</f>
        <v>406.5</v>
      </c>
      <c r="H153" s="39">
        <f>(SmtRes!AA95*SmtRes!Y95*Source!I33+SmtRes!AB95*SmtRes!Y95*Source!I33+SmtRes!AD95*SmtRes!Y95*Source!I33)</f>
        <v>1723.5193500000003</v>
      </c>
      <c r="I153" s="35"/>
      <c r="J153" s="35"/>
      <c r="K153" s="35"/>
      <c r="L153" s="39">
        <f>SmtRes!AA95*SmtRes!Y95*Source!I33</f>
        <v>1723.5193500000003</v>
      </c>
      <c r="M153" s="35"/>
      <c r="N153" s="36"/>
    </row>
    <row r="154" spans="1:14" ht="15">
      <c r="A154" s="34"/>
      <c r="B154" s="37">
        <f>SmtRes!I96</f>
      </c>
      <c r="C154" s="37" t="str">
        <f>SmtRes!K96</f>
        <v>Праймер</v>
      </c>
      <c r="D154" s="35" t="str">
        <f>SmtRes!O96</f>
        <v>л</v>
      </c>
      <c r="E154" s="35">
        <f>SmtRes!Y96</f>
        <v>16.5</v>
      </c>
      <c r="F154" s="35">
        <f>SmtRes!Y96*Source!I33</f>
        <v>111.045</v>
      </c>
      <c r="G154" s="38">
        <f>(SmtRes!AA96+SmtRes!AB96+SmtRes!AD96)</f>
        <v>605.35</v>
      </c>
      <c r="H154" s="39">
        <f>(SmtRes!AA96*SmtRes!Y96*Source!I33+SmtRes!AB96*SmtRes!Y96*Source!I33+SmtRes!AD96*SmtRes!Y96*Source!I33)</f>
        <v>67221.09075</v>
      </c>
      <c r="I154" s="35"/>
      <c r="J154" s="35"/>
      <c r="K154" s="35"/>
      <c r="L154" s="39">
        <f>SmtRes!AA96*SmtRes!Y96*Source!I33</f>
        <v>67221.09075</v>
      </c>
      <c r="M154" s="35"/>
      <c r="N154" s="36"/>
    </row>
    <row r="155" spans="1:14" ht="15">
      <c r="A155" s="34"/>
      <c r="B155" s="37">
        <f>SmtRes!I97</f>
      </c>
      <c r="C155" s="37" t="str">
        <f>SmtRes!K97</f>
        <v>Монтажный клей</v>
      </c>
      <c r="D155" s="35" t="str">
        <f>SmtRes!O97</f>
        <v>л</v>
      </c>
      <c r="E155" s="35">
        <f>SmtRes!Y97</f>
        <v>151.2</v>
      </c>
      <c r="F155" s="35">
        <f>SmtRes!Y97*Source!I33</f>
        <v>1017.576</v>
      </c>
      <c r="G155" s="38">
        <f>(SmtRes!AA97+SmtRes!AB97+SmtRes!AD97)</f>
        <v>516.94</v>
      </c>
      <c r="H155" s="39">
        <f>(SmtRes!AA97*SmtRes!Y97*Source!I33+SmtRes!AB97*SmtRes!Y97*Source!I33+SmtRes!AD97*SmtRes!Y97*Source!I33)</f>
        <v>526025.73744</v>
      </c>
      <c r="I155" s="35"/>
      <c r="J155" s="35"/>
      <c r="K155" s="35"/>
      <c r="L155" s="39">
        <f>SmtRes!AA97*SmtRes!Y97*Source!I33</f>
        <v>526025.73744</v>
      </c>
      <c r="M155" s="35"/>
      <c r="N155" s="36"/>
    </row>
    <row r="156" spans="1:14" ht="15">
      <c r="A156" s="34"/>
      <c r="B156" s="37">
        <f>SmtRes!I98</f>
      </c>
      <c r="C156" s="37" t="str">
        <f>SmtRes!K98</f>
        <v>Краевая полоса</v>
      </c>
      <c r="D156" s="35" t="str">
        <f>SmtRes!O98</f>
        <v>м</v>
      </c>
      <c r="E156" s="35">
        <f>SmtRes!Y98</f>
        <v>56.29210455402856</v>
      </c>
      <c r="F156" s="35">
        <f>SmtRes!Y98*Source!I33</f>
        <v>378.84586364861224</v>
      </c>
      <c r="G156" s="38">
        <f>(SmtRes!AA98+SmtRes!AB98+SmtRes!AD98)</f>
        <v>166.4</v>
      </c>
      <c r="H156" s="39">
        <f>(SmtRes!AA98*SmtRes!Y98*Source!I33+SmtRes!AB98*SmtRes!Y98*Source!I33+SmtRes!AD98*SmtRes!Y98*Source!I33)</f>
        <v>63039.951711129084</v>
      </c>
      <c r="I156" s="35"/>
      <c r="J156" s="35"/>
      <c r="K156" s="35"/>
      <c r="L156" s="39">
        <f>SmtRes!AA98*SmtRes!Y98*Source!I33</f>
        <v>63039.951711129084</v>
      </c>
      <c r="M156" s="35"/>
      <c r="N156" s="36"/>
    </row>
    <row r="157" spans="1:14" ht="15">
      <c r="A157" s="34"/>
      <c r="B157" s="37">
        <f>SmtRes!I99</f>
      </c>
      <c r="C157" s="37" t="str">
        <f>SmtRes!K99</f>
        <v>Шуруп кровельный 4,8*29</v>
      </c>
      <c r="D157" s="35" t="str">
        <f>SmtRes!O99</f>
        <v>шт.</v>
      </c>
      <c r="E157" s="35">
        <f>SmtRes!Y99</f>
        <v>200</v>
      </c>
      <c r="F157" s="35">
        <f>SmtRes!Y99*Source!I33</f>
        <v>1346</v>
      </c>
      <c r="G157" s="38">
        <f>(SmtRes!AA99+SmtRes!AB99+SmtRes!AD99)</f>
        <v>1.78</v>
      </c>
      <c r="H157" s="39">
        <f>(SmtRes!AA99*SmtRes!Y99*Source!I33+SmtRes!AB99*SmtRes!Y99*Source!I33+SmtRes!AD99*SmtRes!Y99*Source!I33)</f>
        <v>2395.88</v>
      </c>
      <c r="I157" s="35"/>
      <c r="J157" s="35"/>
      <c r="K157" s="35"/>
      <c r="L157" s="39">
        <f>SmtRes!AA99*SmtRes!Y99*Source!I33</f>
        <v>2395.88</v>
      </c>
      <c r="M157" s="35"/>
      <c r="N157" s="36"/>
    </row>
    <row r="158" spans="1:14" ht="15">
      <c r="A158" s="34"/>
      <c r="B158" s="37">
        <f>SmtRes!I100</f>
      </c>
      <c r="C158" s="37" t="str">
        <f>SmtRes!K100</f>
        <v>Краевой герметик</v>
      </c>
      <c r="D158" s="35" t="str">
        <f>SmtRes!O100</f>
        <v>шт.</v>
      </c>
      <c r="E158" s="35">
        <f>SmtRes!Y100</f>
        <v>12</v>
      </c>
      <c r="F158" s="35">
        <f>SmtRes!Y100*Source!I33</f>
        <v>80.76</v>
      </c>
      <c r="G158" s="38">
        <f>(SmtRes!AA100+SmtRes!AB100+SmtRes!AD100)</f>
        <v>621.34</v>
      </c>
      <c r="H158" s="39">
        <f>(SmtRes!AA100*SmtRes!Y100*Source!I33+SmtRes!AB100*SmtRes!Y100*Source!I33+SmtRes!AD100*SmtRes!Y100*Source!I33)</f>
        <v>50179.4184</v>
      </c>
      <c r="I158" s="35"/>
      <c r="J158" s="35"/>
      <c r="K158" s="35"/>
      <c r="L158" s="39">
        <f>SmtRes!AA100*SmtRes!Y100*Source!I33</f>
        <v>50179.4184</v>
      </c>
      <c r="M158" s="35"/>
      <c r="N158" s="36"/>
    </row>
    <row r="159" spans="1:14" ht="15">
      <c r="A159" s="40"/>
      <c r="B159" s="41">
        <f>SmtRes!I101</f>
      </c>
      <c r="C159" s="41" t="str">
        <f>SmtRes!K101</f>
        <v>Ветошь</v>
      </c>
      <c r="D159" s="42">
        <f>SmtRes!O101</f>
        <v>0</v>
      </c>
      <c r="E159" s="42">
        <f>SmtRes!Y101</f>
        <v>3.5004042037186744</v>
      </c>
      <c r="F159" s="42">
        <f>SmtRes!Y101*Source!I33</f>
        <v>23.55772029102668</v>
      </c>
      <c r="G159" s="43">
        <f>(SmtRes!AA101+SmtRes!AB101+SmtRes!AD101)</f>
        <v>52.32</v>
      </c>
      <c r="H159" s="44">
        <f>(SmtRes!AA101*SmtRes!Y101*Source!I33+SmtRes!AB101*SmtRes!Y101*Source!I33+SmtRes!AD101*SmtRes!Y101*Source!I33)</f>
        <v>1232.539925626516</v>
      </c>
      <c r="I159" s="42"/>
      <c r="J159" s="42"/>
      <c r="K159" s="42"/>
      <c r="L159" s="44">
        <f>SmtRes!AA101*SmtRes!Y101*Source!I33</f>
        <v>1232.539925626516</v>
      </c>
      <c r="M159" s="42"/>
      <c r="N159" s="45"/>
    </row>
    <row r="160" spans="1:26" ht="69.75">
      <c r="A160" s="16" t="str">
        <f>IF(Source!E34&lt;&gt;"",Source!E34,"")</f>
        <v>12</v>
      </c>
      <c r="B160" s="16" t="str">
        <f>IF(Source!F34&lt;&gt;"",Source!F34,"")</f>
        <v>58-19-3</v>
      </c>
      <c r="C160" s="16" t="s">
        <v>598</v>
      </c>
      <c r="D160" s="17" t="str">
        <f>IF(Source!H34&lt;&gt;"",Source!H34,"")</f>
        <v>100 м покрытия</v>
      </c>
      <c r="E160" s="17" t="str">
        <f>IF(Source!J34=0," ",Source!J34)</f>
        <v> </v>
      </c>
      <c r="F160" s="18">
        <f>Source!I34</f>
        <v>1.806</v>
      </c>
      <c r="G160" s="19">
        <f>IF(Source!AB34=0," ",Source!AB34)</f>
        <v>27361.45</v>
      </c>
      <c r="H160" s="20">
        <f>IF(Source!O34=0," ",Source!O34)</f>
        <v>49414</v>
      </c>
      <c r="I160" s="20">
        <f>IF(Source!S34=0," ",Source!S34)</f>
        <v>21997</v>
      </c>
      <c r="J160" s="20">
        <f>IF(Source!Q34=0," ",Source!Q34)</f>
        <v>117</v>
      </c>
      <c r="K160" s="20" t="str">
        <f>IF(Source!R34=0," ",Source!R34)</f>
        <v> </v>
      </c>
      <c r="L160" s="20">
        <f>IF(Source!P34=0," ",Source!P34)</f>
        <v>27300</v>
      </c>
      <c r="M160" s="21">
        <f>IF(Source!U34=0," ",ROUND(Source!U34,6))</f>
        <v>182.83944</v>
      </c>
      <c r="N160" s="21">
        <f>IF(Source!V34=0," ",ROUND(Source!V34,6))</f>
        <v>0.4515</v>
      </c>
      <c r="T160">
        <f>IF(Source!O34=0," ",Source!O34)</f>
        <v>49414</v>
      </c>
      <c r="U160">
        <v>27300</v>
      </c>
      <c r="V160">
        <f>IF(Source!S34=0," ",Source!S34)</f>
        <v>21997</v>
      </c>
      <c r="W160">
        <f>IF(Source!Q34=0," ",Source!Q34)</f>
        <v>117</v>
      </c>
      <c r="X160" t="str">
        <f>IF(Source!R34=0," ",Source!R34)</f>
        <v> </v>
      </c>
      <c r="Y160">
        <f>IF(Source!U34=0," ",ROUND(Source!U34,6))</f>
        <v>182.83944</v>
      </c>
      <c r="Z160">
        <f>IF(Source!V34=0," ",ROUND(Source!V34,6))</f>
        <v>0.4515</v>
      </c>
    </row>
    <row r="161" spans="1:14" ht="15">
      <c r="A161" s="57"/>
      <c r="B161" s="57"/>
      <c r="C161" s="22" t="s">
        <v>154</v>
      </c>
      <c r="D161" s="23" t="str">
        <f>CONCATENATE(Source!AT34," %")</f>
        <v>83 %</v>
      </c>
      <c r="E161" s="23"/>
      <c r="F161" s="23"/>
      <c r="G161" s="23"/>
      <c r="H161" s="24">
        <f>Source!X34</f>
        <v>18258</v>
      </c>
      <c r="I161" s="57"/>
      <c r="J161" s="57"/>
      <c r="K161" s="57"/>
      <c r="L161" s="57"/>
      <c r="M161" s="57"/>
      <c r="N161" s="57"/>
    </row>
    <row r="162" spans="1:14" ht="15">
      <c r="A162" s="57"/>
      <c r="B162" s="57"/>
      <c r="C162" s="22" t="s">
        <v>156</v>
      </c>
      <c r="D162" s="23" t="str">
        <f>CONCATENATE(Source!AU34," %")</f>
        <v>65 %</v>
      </c>
      <c r="E162" s="23"/>
      <c r="F162" s="23"/>
      <c r="G162" s="23"/>
      <c r="H162" s="24">
        <f>Source!Y34</f>
        <v>14298</v>
      </c>
      <c r="I162" s="57"/>
      <c r="J162" s="57"/>
      <c r="K162" s="57"/>
      <c r="L162" s="57"/>
      <c r="M162" s="57"/>
      <c r="N162" s="57"/>
    </row>
    <row r="163" spans="1:14" ht="14.25">
      <c r="A163" s="58"/>
      <c r="B163" s="58"/>
      <c r="C163" s="25" t="s">
        <v>551</v>
      </c>
      <c r="D163" s="26"/>
      <c r="E163" s="26"/>
      <c r="F163" s="26"/>
      <c r="G163" s="26"/>
      <c r="H163" s="27">
        <f>SUMIF(Source!AA34:Source!AA34,"=27243028",Source!GM34:Source!GM34)</f>
        <v>81970</v>
      </c>
      <c r="I163" s="58"/>
      <c r="J163" s="58"/>
      <c r="K163" s="58"/>
      <c r="L163" s="58"/>
      <c r="M163" s="58"/>
      <c r="N163" s="58"/>
    </row>
    <row r="164" spans="1:14" ht="30">
      <c r="A164" s="28"/>
      <c r="B164" s="31" t="str">
        <f>SmtRes!I102</f>
        <v>1-1025-12</v>
      </c>
      <c r="C164" s="31" t="str">
        <f>SmtRes!K102</f>
        <v>Рабочий строитель среднего разряда 2,5</v>
      </c>
      <c r="D164" s="29" t="str">
        <f>SmtRes!O102</f>
        <v>чел.-ч</v>
      </c>
      <c r="E164" s="29">
        <f>SmtRes!Y102</f>
        <v>101.24</v>
      </c>
      <c r="F164" s="29">
        <f>SmtRes!Y102*Source!I34</f>
        <v>182.83944</v>
      </c>
      <c r="G164" s="32">
        <f>(SmtRes!AA102+SmtRes!AB102+SmtRes!AD102)</f>
        <v>120.31</v>
      </c>
      <c r="H164" s="33">
        <f>(SmtRes!AA102*SmtRes!Y102*Source!I34+SmtRes!AB102*SmtRes!Y102*Source!I34+SmtRes!AD102*SmtRes!Y102*Source!I34)</f>
        <v>21997.4130264</v>
      </c>
      <c r="I164" s="33">
        <f>SmtRes!AD102*SmtRes!Y102*Source!I34</f>
        <v>21997.4130264</v>
      </c>
      <c r="J164" s="29"/>
      <c r="K164" s="29"/>
      <c r="L164" s="29"/>
      <c r="M164" s="29"/>
      <c r="N164" s="30"/>
    </row>
    <row r="165" spans="1:14" ht="15">
      <c r="A165" s="34"/>
      <c r="B165" s="37" t="str">
        <f>SmtRes!I103</f>
        <v>2</v>
      </c>
      <c r="C165" s="37" t="str">
        <f>SmtRes!K103</f>
        <v>Затраты труда машинистов</v>
      </c>
      <c r="D165" s="35" t="str">
        <f>SmtRes!O103</f>
        <v>чел.час</v>
      </c>
      <c r="E165" s="35">
        <f>SmtRes!Y103</f>
        <v>0.25</v>
      </c>
      <c r="F165" s="35">
        <f>SmtRes!Y103*Source!I34</f>
        <v>0.4515</v>
      </c>
      <c r="G165" s="38">
        <f>(SmtRes!AA103+SmtRes!AB103+SmtRes!AD103)</f>
        <v>0</v>
      </c>
      <c r="H165" s="39">
        <f>(SmtRes!AA103*SmtRes!Y103*Source!I34+SmtRes!AB103*SmtRes!Y103*Source!I34+SmtRes!AD103*SmtRes!Y103*Source!I34)</f>
        <v>0</v>
      </c>
      <c r="I165" s="35"/>
      <c r="J165" s="35"/>
      <c r="K165" s="39">
        <f>SmtRes!AC103*SmtRes!Y103*Source!I34</f>
        <v>0</v>
      </c>
      <c r="L165" s="35"/>
      <c r="M165" s="35"/>
      <c r="N165" s="36"/>
    </row>
    <row r="166" spans="1:14" ht="45">
      <c r="A166" s="34"/>
      <c r="B166" s="37" t="str">
        <f>SmtRes!I104</f>
        <v>030954</v>
      </c>
      <c r="C166" s="37" t="str">
        <f>SmtRes!K104</f>
        <v>Подъемники грузоподъемностью до 500 кг одномачтовые, высота подъема 45 м</v>
      </c>
      <c r="D166" s="35" t="str">
        <f>SmtRes!O104</f>
        <v>маш.-ч</v>
      </c>
      <c r="E166" s="35">
        <f>SmtRes!Y104</f>
        <v>0.25</v>
      </c>
      <c r="F166" s="35">
        <f>SmtRes!Y104*Source!I34</f>
        <v>0.4515</v>
      </c>
      <c r="G166" s="38">
        <f>(SmtRes!AA104+SmtRes!AB104+SmtRes!AD104)</f>
        <v>258.94</v>
      </c>
      <c r="H166" s="39">
        <f>(SmtRes!AA104*SmtRes!Y104*Source!I34+SmtRes!AB104*SmtRes!Y104*Source!I34+SmtRes!AD104*SmtRes!Y104*Source!I34)</f>
        <v>116.91141</v>
      </c>
      <c r="I166" s="35"/>
      <c r="J166" s="39">
        <f>SmtRes!AB104*SmtRes!Y104*Source!I34</f>
        <v>116.91141</v>
      </c>
      <c r="K166" s="39">
        <f>SmtRes!AC104*SmtRes!Y104*Source!I34</f>
        <v>0</v>
      </c>
      <c r="L166" s="35"/>
      <c r="M166" s="35"/>
      <c r="N166" s="36"/>
    </row>
    <row r="167" spans="1:14" ht="15">
      <c r="A167" s="34"/>
      <c r="B167" s="37" t="str">
        <f>SmtRes!I105</f>
        <v>101-0782</v>
      </c>
      <c r="C167" s="37" t="str">
        <f>SmtRes!K105</f>
        <v>Анкер-клин</v>
      </c>
      <c r="D167" s="35" t="str">
        <f>SmtRes!O105</f>
        <v>шт.</v>
      </c>
      <c r="E167" s="35">
        <f>SmtRes!Y105</f>
        <v>300</v>
      </c>
      <c r="F167" s="35">
        <f>SmtRes!Y105*Source!I34</f>
        <v>541.8000000000001</v>
      </c>
      <c r="G167" s="38">
        <f>(SmtRes!AA105+SmtRes!AB105+SmtRes!AD105)</f>
        <v>3.88</v>
      </c>
      <c r="H167" s="39">
        <f>(SmtRes!AA105*SmtRes!Y105*Source!I34+SmtRes!AB105*SmtRes!Y105*Source!I34+SmtRes!AD105*SmtRes!Y105*Source!I34)</f>
        <v>2102.184</v>
      </c>
      <c r="I167" s="35"/>
      <c r="J167" s="35"/>
      <c r="K167" s="35"/>
      <c r="L167" s="39">
        <f>SmtRes!AA105*SmtRes!Y105*Source!I34</f>
        <v>2102.184</v>
      </c>
      <c r="M167" s="35"/>
      <c r="N167" s="36"/>
    </row>
    <row r="168" spans="1:14" ht="15">
      <c r="A168" s="34"/>
      <c r="B168" s="37" t="str">
        <f>SmtRes!I106</f>
        <v>101-1875</v>
      </c>
      <c r="C168" s="37" t="str">
        <f>SmtRes!K106</f>
        <v>Сталь листовая оцинкованная</v>
      </c>
      <c r="D168" s="35" t="str">
        <f>SmtRes!O106</f>
        <v>т</v>
      </c>
      <c r="E168" s="35">
        <f>SmtRes!Y106</f>
        <v>0.294</v>
      </c>
      <c r="F168" s="35">
        <f>SmtRes!Y106*Source!I34</f>
        <v>0.530964</v>
      </c>
      <c r="G168" s="38">
        <f>(SmtRes!AA106+SmtRes!AB106+SmtRes!AD106)</f>
        <v>47457.6</v>
      </c>
      <c r="H168" s="39">
        <f>(SmtRes!AA106*SmtRes!Y106*Source!I34+SmtRes!AB106*SmtRes!Y106*Source!I34+SmtRes!AD106*SmtRes!Y106*Source!I34)</f>
        <v>25198.277126399997</v>
      </c>
      <c r="I168" s="35"/>
      <c r="J168" s="35"/>
      <c r="K168" s="35"/>
      <c r="L168" s="39">
        <f>SmtRes!AA106*SmtRes!Y106*Source!I34</f>
        <v>25198.277126399997</v>
      </c>
      <c r="M168" s="35"/>
      <c r="N168" s="36"/>
    </row>
    <row r="169" spans="1:14" ht="15">
      <c r="A169" s="40"/>
      <c r="B169" s="41" t="str">
        <f>SmtRes!I107</f>
        <v>509-9900</v>
      </c>
      <c r="C169" s="41" t="str">
        <f>SmtRes!K107</f>
        <v>Строительный мусор</v>
      </c>
      <c r="D169" s="42" t="str">
        <f>SmtRes!O107</f>
        <v>т</v>
      </c>
      <c r="E169" s="42">
        <f>SmtRes!Y107</f>
        <v>0.594</v>
      </c>
      <c r="F169" s="42">
        <f>SmtRes!Y107*Source!I34</f>
        <v>1.072764</v>
      </c>
      <c r="G169" s="43">
        <f>(SmtRes!AA107+SmtRes!AB107+SmtRes!AD107)</f>
        <v>0</v>
      </c>
      <c r="H169" s="44">
        <f>(SmtRes!AA107*SmtRes!Y107*Source!I34+SmtRes!AB107*SmtRes!Y107*Source!I34+SmtRes!AD107*SmtRes!Y107*Source!I34)</f>
        <v>0</v>
      </c>
      <c r="I169" s="42"/>
      <c r="J169" s="42"/>
      <c r="K169" s="42"/>
      <c r="L169" s="44">
        <f>SmtRes!AA107*SmtRes!Y107*Source!I34</f>
        <v>0</v>
      </c>
      <c r="M169" s="42"/>
      <c r="N169" s="45"/>
    </row>
    <row r="170" spans="1:26" ht="71.25">
      <c r="A170" s="16" t="str">
        <f>IF(Source!E35&lt;&gt;"",Source!E35,"")</f>
        <v>13</v>
      </c>
      <c r="B170" s="16" t="str">
        <f>IF(Source!F35&lt;&gt;"",Source!F35,"")</f>
        <v>ФСЦП 310-3021-1</v>
      </c>
      <c r="C170" s="16" t="str">
        <f>IF(Source!G35&lt;&gt;"",Source!G35,"")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D170" s="17" t="str">
        <f>IF(Source!H35&lt;&gt;"",Source!H35,"")</f>
        <v>т</v>
      </c>
      <c r="E170" s="17" t="str">
        <f>IF(Source!J35=0," ",Source!J35)</f>
        <v> </v>
      </c>
      <c r="F170" s="18">
        <f>Source!I35</f>
        <v>17</v>
      </c>
      <c r="G170" s="19">
        <f>IF(Source!AB35=0," ",Source!AB35)</f>
        <v>178.15</v>
      </c>
      <c r="H170" s="20">
        <f>IF(Source!O35=0," ",Source!O35)</f>
        <v>3029</v>
      </c>
      <c r="I170" s="20" t="str">
        <f>IF(Source!S35=0," ",Source!S35)</f>
        <v> </v>
      </c>
      <c r="J170" s="20">
        <f>IF(Source!Q35=0," ",Source!Q35)</f>
        <v>3029</v>
      </c>
      <c r="K170" s="20" t="str">
        <f>IF(Source!R35=0," ",Source!R35)</f>
        <v> </v>
      </c>
      <c r="L170" s="20" t="str">
        <f>IF(Source!P35=0," ",Source!P35)</f>
        <v> </v>
      </c>
      <c r="M170" s="21" t="str">
        <f>IF(Source!U35=0," ",ROUND(Source!U35,6))</f>
        <v> </v>
      </c>
      <c r="N170" s="21" t="str">
        <f>IF(Source!V35=0," ",ROUND(Source!V35,6))</f>
        <v> </v>
      </c>
      <c r="T170">
        <f>IF(Source!O35=0," ",Source!O35)</f>
        <v>3029</v>
      </c>
      <c r="U170" t="s">
        <v>549</v>
      </c>
      <c r="V170" t="str">
        <f>IF(Source!S35=0," ",Source!S35)</f>
        <v> </v>
      </c>
      <c r="W170">
        <f>IF(Source!Q35=0," ",Source!Q35)</f>
        <v>3029</v>
      </c>
      <c r="X170" t="str">
        <f>IF(Source!R35=0," ",Source!R35)</f>
        <v> </v>
      </c>
      <c r="Y170" t="str">
        <f>IF(Source!U35=0," ",ROUND(Source!U35,6))</f>
        <v> </v>
      </c>
      <c r="Z170" t="str">
        <f>IF(Source!V35=0," ",ROUND(Source!V35,6))</f>
        <v> </v>
      </c>
    </row>
    <row r="171" spans="1:14" ht="14.25">
      <c r="A171" s="58"/>
      <c r="B171" s="58"/>
      <c r="C171" s="25" t="s">
        <v>551</v>
      </c>
      <c r="D171" s="26"/>
      <c r="E171" s="26"/>
      <c r="F171" s="26"/>
      <c r="G171" s="26"/>
      <c r="H171" s="27">
        <f>SUMIF(Source!AA35:Source!AA35,"=27243028",Source!GM35:Source!GM35)</f>
        <v>3029</v>
      </c>
      <c r="I171" s="58"/>
      <c r="J171" s="58"/>
      <c r="K171" s="58"/>
      <c r="L171" s="58"/>
      <c r="M171" s="58"/>
      <c r="N171" s="58"/>
    </row>
    <row r="172" spans="1:14" ht="15">
      <c r="A172" s="46"/>
      <c r="B172" s="47">
        <f>SmtRes!I108</f>
      </c>
      <c r="C172" s="47" t="str">
        <f>SmtRes!K108</f>
        <v>автомобиль-самосвал-10 т</v>
      </c>
      <c r="D172" s="48" t="str">
        <f>SmtRes!O108</f>
        <v>маш.-ч</v>
      </c>
      <c r="E172" s="48">
        <f>SmtRes!Y108</f>
        <v>1.518</v>
      </c>
      <c r="F172" s="48">
        <f>SmtRes!Y108*Source!I35</f>
        <v>25.806</v>
      </c>
      <c r="G172" s="49">
        <f>(SmtRes!AA108+SmtRes!AB108+SmtRes!AD108)</f>
        <v>117.36</v>
      </c>
      <c r="H172" s="50">
        <f>(SmtRes!AA108*SmtRes!Y108*Source!I35+SmtRes!AB108*SmtRes!Y108*Source!I35+SmtRes!AD108*SmtRes!Y108*Source!I35)</f>
        <v>3028.59216</v>
      </c>
      <c r="I172" s="48"/>
      <c r="J172" s="50">
        <f>SmtRes!AB108*SmtRes!Y108*Source!I35</f>
        <v>3028.59216</v>
      </c>
      <c r="K172" s="50">
        <f>SmtRes!AC108*SmtRes!Y108*Source!I35</f>
        <v>0</v>
      </c>
      <c r="L172" s="48"/>
      <c r="M172" s="48"/>
      <c r="N172" s="51"/>
    </row>
    <row r="173" spans="1:26" ht="55.5">
      <c r="A173" s="16" t="str">
        <f>IF(Source!E36&lt;&gt;"",Source!E36,"")</f>
        <v>14</v>
      </c>
      <c r="B173" s="16" t="str">
        <f>IF(Source!F36&lt;&gt;"",Source!F36,"")</f>
        <v>311-01-148-1</v>
      </c>
      <c r="C173" s="16" t="s">
        <v>599</v>
      </c>
      <c r="D173" s="17" t="str">
        <f>IF(Source!H36&lt;&gt;"",Source!H36,"")</f>
        <v>т</v>
      </c>
      <c r="E173" s="17" t="str">
        <f>IF(Source!J36=0," ",Source!J36)</f>
        <v> </v>
      </c>
      <c r="F173" s="18">
        <f>Source!I36</f>
        <v>17</v>
      </c>
      <c r="G173" s="19">
        <f>IF(Source!AB36=0," ",Source!AB36)</f>
        <v>16.99</v>
      </c>
      <c r="H173" s="20">
        <f>IF(Source!O36=0," ",Source!O36)</f>
        <v>289</v>
      </c>
      <c r="I173" s="20" t="str">
        <f>IF(Source!S36=0," ",Source!S36)</f>
        <v> </v>
      </c>
      <c r="J173" s="20">
        <f>IF(Source!Q36=0," ",Source!Q36)</f>
        <v>289</v>
      </c>
      <c r="K173" s="20" t="str">
        <f>IF(Source!R36=0," ",Source!R36)</f>
        <v> </v>
      </c>
      <c r="L173" s="20" t="str">
        <f>IF(Source!P36=0," ",Source!P36)</f>
        <v> </v>
      </c>
      <c r="M173" s="21" t="str">
        <f>IF(Source!U36=0," ",ROUND(Source!U36,6))</f>
        <v> </v>
      </c>
      <c r="N173" s="21">
        <f>IF(Source!V36=0," ",ROUND(Source!V36,6))</f>
        <v>0.408</v>
      </c>
      <c r="T173">
        <f>IF(Source!O36=0," ",Source!O36)</f>
        <v>289</v>
      </c>
      <c r="U173" t="s">
        <v>549</v>
      </c>
      <c r="V173" t="str">
        <f>IF(Source!S36=0," ",Source!S36)</f>
        <v> </v>
      </c>
      <c r="W173">
        <f>IF(Source!Q36=0," ",Source!Q36)</f>
        <v>289</v>
      </c>
      <c r="X173" t="str">
        <f>IF(Source!R36=0," ",Source!R36)</f>
        <v> </v>
      </c>
      <c r="Y173" t="str">
        <f>IF(Source!U36=0," ",ROUND(Source!U36,6))</f>
        <v> </v>
      </c>
      <c r="Z173">
        <f>IF(Source!V36=0," ",ROUND(Source!V36,6))</f>
        <v>0.408</v>
      </c>
    </row>
    <row r="174" spans="1:14" ht="14.25">
      <c r="A174" s="58"/>
      <c r="B174" s="58"/>
      <c r="C174" s="25" t="s">
        <v>551</v>
      </c>
      <c r="D174" s="26"/>
      <c r="E174" s="26"/>
      <c r="F174" s="26"/>
      <c r="G174" s="26"/>
      <c r="H174" s="27">
        <f>SUMIF(Source!AA36:Source!AA36,"=27243028",Source!GM36:Source!GM36)</f>
        <v>289</v>
      </c>
      <c r="I174" s="58"/>
      <c r="J174" s="58"/>
      <c r="K174" s="58"/>
      <c r="L174" s="58"/>
      <c r="M174" s="58"/>
      <c r="N174" s="58"/>
    </row>
    <row r="175" spans="1:14" ht="15">
      <c r="A175" s="28"/>
      <c r="B175" s="31" t="str">
        <f>SmtRes!I109</f>
        <v>2</v>
      </c>
      <c r="C175" s="31" t="str">
        <f>SmtRes!K109</f>
        <v>Затраты труда машинистов</v>
      </c>
      <c r="D175" s="29" t="str">
        <f>SmtRes!O109</f>
        <v>чел.час</v>
      </c>
      <c r="E175" s="29">
        <f>SmtRes!Y109</f>
        <v>0.024</v>
      </c>
      <c r="F175" s="29">
        <f>SmtRes!Y109*Source!I36</f>
        <v>0.40800000000000003</v>
      </c>
      <c r="G175" s="32">
        <f>(SmtRes!AA109+SmtRes!AB109+SmtRes!AD109)</f>
        <v>0</v>
      </c>
      <c r="H175" s="33">
        <f>(SmtRes!AA109*SmtRes!Y109*Source!I36+SmtRes!AB109*SmtRes!Y109*Source!I36+SmtRes!AD109*SmtRes!Y109*Source!I36)</f>
        <v>0</v>
      </c>
      <c r="I175" s="29"/>
      <c r="J175" s="29"/>
      <c r="K175" s="33">
        <f>SmtRes!AC109*SmtRes!Y109*Source!I36</f>
        <v>0</v>
      </c>
      <c r="L175" s="29"/>
      <c r="M175" s="29"/>
      <c r="N175" s="30"/>
    </row>
    <row r="176" spans="1:14" ht="45">
      <c r="A176" s="34"/>
      <c r="B176" s="37" t="str">
        <f>SmtRes!I110</f>
        <v>060248</v>
      </c>
      <c r="C176" s="37" t="str">
        <f>SmtRes!K110</f>
        <v>Экскаваторы одноковшовые дизельные на гусеничном ходу при работе на других видах строительства 0,65 м3</v>
      </c>
      <c r="D176" s="35" t="str">
        <f>SmtRes!O110</f>
        <v>маш.ч</v>
      </c>
      <c r="E176" s="35">
        <f>SmtRes!Y110</f>
        <v>0.024</v>
      </c>
      <c r="F176" s="35">
        <f>SmtRes!Y110*Source!I36</f>
        <v>0.40800000000000003</v>
      </c>
      <c r="G176" s="38">
        <f>(SmtRes!AA110+SmtRes!AB110+SmtRes!AD110)</f>
        <v>707.78</v>
      </c>
      <c r="H176" s="39">
        <f>(SmtRes!AA110*SmtRes!Y110*Source!I36+SmtRes!AB110*SmtRes!Y110*Source!I36+SmtRes!AD110*SmtRes!Y110*Source!I36)</f>
        <v>288.77423999999996</v>
      </c>
      <c r="I176" s="35"/>
      <c r="J176" s="39">
        <f>SmtRes!AB110*SmtRes!Y110*Source!I36</f>
        <v>288.77423999999996</v>
      </c>
      <c r="K176" s="39">
        <f>SmtRes!AC110*SmtRes!Y110*Source!I36</f>
        <v>0</v>
      </c>
      <c r="L176" s="35"/>
      <c r="M176" s="35"/>
      <c r="N176" s="36"/>
    </row>
    <row r="177" spans="1:14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31" ht="16.5">
      <c r="A178" s="111" t="s">
        <v>667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AE178" s="15" t="str">
        <f>CONCATENATE("Локальная смета ",IF(Source!G74&lt;&gt;"Новая локальная смета",Source!G74,""))</f>
        <v>Локальная смета Ремонт кровли корпуса №20 в осях  (1-9) (Г-Ж)</v>
      </c>
    </row>
    <row r="179" spans="1:26" ht="41.25">
      <c r="A179" s="16" t="str">
        <f>IF(Source!E78&lt;&gt;"",Source!E78,"")</f>
        <v>1</v>
      </c>
      <c r="B179" s="16" t="str">
        <f>IF(Source!F78&lt;&gt;"",Source!F78,"")</f>
        <v>46-04-008-01</v>
      </c>
      <c r="C179" s="16" t="s">
        <v>600</v>
      </c>
      <c r="D179" s="17" t="str">
        <f>IF(Source!H78&lt;&gt;"",Source!H78,"")</f>
        <v>100 м2 покрытия</v>
      </c>
      <c r="E179" s="17" t="str">
        <f>IF(Source!J78=0," ",Source!J78)</f>
        <v> </v>
      </c>
      <c r="F179" s="18">
        <f>Source!I78</f>
        <v>0.696</v>
      </c>
      <c r="G179" s="19">
        <f>IF(Source!AB78=0," ",Source!AB78)</f>
        <v>1822.44</v>
      </c>
      <c r="H179" s="20">
        <f>IF(Source!O78=0," ",Source!O78)</f>
        <v>1268</v>
      </c>
      <c r="I179" s="20">
        <f>IF(Source!S78=0," ",Source!S78)</f>
        <v>1152</v>
      </c>
      <c r="J179" s="20">
        <f>IF(Source!Q78=0," ",Source!Q78)</f>
        <v>116</v>
      </c>
      <c r="K179" s="20" t="str">
        <f>IF(Source!R78=0," ",Source!R78)</f>
        <v> </v>
      </c>
      <c r="L179" s="20" t="str">
        <f>IF(Source!P78=0," ",Source!P78)</f>
        <v> </v>
      </c>
      <c r="M179" s="21">
        <f>IF(Source!U78=0," ",ROUND(Source!U78,6))</f>
        <v>10.00848</v>
      </c>
      <c r="N179" s="21" t="str">
        <f>IF(Source!V78=0," ",ROUND(Source!V78,6))</f>
        <v> </v>
      </c>
      <c r="T179">
        <f>IF(Source!O78=0," ",Source!O78)</f>
        <v>1268</v>
      </c>
      <c r="U179" t="s">
        <v>549</v>
      </c>
      <c r="V179">
        <f>IF(Source!S78=0," ",Source!S78)</f>
        <v>1152</v>
      </c>
      <c r="W179">
        <f>IF(Source!Q78=0," ",Source!Q78)</f>
        <v>116</v>
      </c>
      <c r="X179" t="str">
        <f>IF(Source!R78=0," ",Source!R78)</f>
        <v> </v>
      </c>
      <c r="Y179">
        <f>IF(Source!U78=0," ",ROUND(Source!U78,6))</f>
        <v>10.00848</v>
      </c>
      <c r="Z179" t="str">
        <f>IF(Source!V78=0," ",ROUND(Source!V78,6))</f>
        <v> </v>
      </c>
    </row>
    <row r="180" spans="1:14" ht="15">
      <c r="A180" s="57"/>
      <c r="B180" s="57"/>
      <c r="C180" s="22" t="s">
        <v>154</v>
      </c>
      <c r="D180" s="23" t="str">
        <f>CONCATENATE(Source!AT78," %")</f>
        <v>110 %</v>
      </c>
      <c r="E180" s="23"/>
      <c r="F180" s="23"/>
      <c r="G180" s="23"/>
      <c r="H180" s="24">
        <f>Source!X78</f>
        <v>1267</v>
      </c>
      <c r="I180" s="57"/>
      <c r="J180" s="57"/>
      <c r="K180" s="57"/>
      <c r="L180" s="57"/>
      <c r="M180" s="57"/>
      <c r="N180" s="57"/>
    </row>
    <row r="181" spans="1:14" ht="15">
      <c r="A181" s="57"/>
      <c r="B181" s="57"/>
      <c r="C181" s="22" t="s">
        <v>156</v>
      </c>
      <c r="D181" s="23" t="str">
        <f>CONCATENATE(Source!AU78," %")</f>
        <v>70 %</v>
      </c>
      <c r="E181" s="23"/>
      <c r="F181" s="23"/>
      <c r="G181" s="23"/>
      <c r="H181" s="24">
        <f>Source!Y78</f>
        <v>806</v>
      </c>
      <c r="I181" s="57"/>
      <c r="J181" s="57"/>
      <c r="K181" s="57"/>
      <c r="L181" s="57"/>
      <c r="M181" s="57"/>
      <c r="N181" s="57"/>
    </row>
    <row r="182" spans="1:14" ht="14.25">
      <c r="A182" s="58"/>
      <c r="B182" s="58"/>
      <c r="C182" s="25" t="s">
        <v>551</v>
      </c>
      <c r="D182" s="26"/>
      <c r="E182" s="26"/>
      <c r="F182" s="26"/>
      <c r="G182" s="26"/>
      <c r="H182" s="27">
        <f>SUMIF(Source!AA78:Source!AA78,"=27243028",Source!GM78:Source!GM78)</f>
        <v>3341</v>
      </c>
      <c r="I182" s="58"/>
      <c r="J182" s="58"/>
      <c r="K182" s="58"/>
      <c r="L182" s="58"/>
      <c r="M182" s="58"/>
      <c r="N182" s="58"/>
    </row>
    <row r="183" spans="1:14" ht="15">
      <c r="A183" s="28"/>
      <c r="B183" s="31" t="str">
        <f>SmtRes!I111</f>
        <v>1-1020</v>
      </c>
      <c r="C183" s="31" t="str">
        <f>SmtRes!K111</f>
        <v>Рабочий строитель среднего разряда 2</v>
      </c>
      <c r="D183" s="29" t="str">
        <f>SmtRes!O111</f>
        <v>чел.-ч</v>
      </c>
      <c r="E183" s="29">
        <f>SmtRes!Y111</f>
        <v>14.38</v>
      </c>
      <c r="F183" s="29">
        <f>SmtRes!Y111*Source!I78</f>
        <v>10.00848</v>
      </c>
      <c r="G183" s="32">
        <f>(SmtRes!AA111+SmtRes!AB111+SmtRes!AD111)</f>
        <v>115.12</v>
      </c>
      <c r="H183" s="33">
        <f>(SmtRes!AA111*SmtRes!Y111*Source!I78+SmtRes!AB111*SmtRes!Y111*Source!I78+SmtRes!AD111*SmtRes!Y111*Source!I78)</f>
        <v>1152.1762176000002</v>
      </c>
      <c r="I183" s="33">
        <f>SmtRes!AD111*SmtRes!Y111*Source!I78</f>
        <v>1152.1762176000002</v>
      </c>
      <c r="J183" s="29"/>
      <c r="K183" s="29"/>
      <c r="L183" s="29"/>
      <c r="M183" s="29"/>
      <c r="N183" s="30"/>
    </row>
    <row r="184" spans="1:14" ht="30">
      <c r="A184" s="40"/>
      <c r="B184" s="41" t="str">
        <f>SmtRes!I112</f>
        <v>030403</v>
      </c>
      <c r="C184" s="41" t="str">
        <f>SmtRes!K112</f>
        <v>Лебедки электрические тяговым усилием 19,62 кН (2 т)</v>
      </c>
      <c r="D184" s="42" t="str">
        <f>SmtRes!O112</f>
        <v>маш.-ч</v>
      </c>
      <c r="E184" s="42">
        <f>SmtRes!Y112</f>
        <v>6.22</v>
      </c>
      <c r="F184" s="42">
        <f>SmtRes!Y112*Source!I78</f>
        <v>4.32912</v>
      </c>
      <c r="G184" s="43">
        <f>(SmtRes!AA112+SmtRes!AB112+SmtRes!AD112)</f>
        <v>26.85</v>
      </c>
      <c r="H184" s="44">
        <f>(SmtRes!AA112*SmtRes!Y112*Source!I78+SmtRes!AB112*SmtRes!Y112*Source!I78+SmtRes!AD112*SmtRes!Y112*Source!I78)</f>
        <v>116.23687199999999</v>
      </c>
      <c r="I184" s="42"/>
      <c r="J184" s="44">
        <f>SmtRes!AB112*SmtRes!Y112*Source!I78</f>
        <v>116.23687199999999</v>
      </c>
      <c r="K184" s="44">
        <f>SmtRes!AC112*SmtRes!Y112*Source!I78</f>
        <v>0</v>
      </c>
      <c r="L184" s="42"/>
      <c r="M184" s="42"/>
      <c r="N184" s="45"/>
    </row>
    <row r="185" spans="1:26" ht="156.75">
      <c r="A185" s="16" t="str">
        <f>IF(Source!E79&lt;&gt;"",Source!E79,"")</f>
        <v>2</v>
      </c>
      <c r="B185" s="16" t="str">
        <f>IF(Source!F79&lt;&gt;"",Source!F79,"")</f>
        <v>10-01-008-05</v>
      </c>
      <c r="C185" s="16" t="s">
        <v>601</v>
      </c>
      <c r="D185" s="17" t="str">
        <f>IF(Source!H79&lt;&gt;"",Source!H79,"")</f>
        <v>100 м2 стен, фронтонов (за вычетом проемов) и развернутых поверхностей карнизов</v>
      </c>
      <c r="E185" s="17" t="str">
        <f>IF(Source!J79=0," ",Source!J79)</f>
        <v> </v>
      </c>
      <c r="F185" s="18">
        <f>Source!I79</f>
        <v>0.936</v>
      </c>
      <c r="G185" s="19">
        <f>IF(Source!AB79=0," ",Source!AB79)</f>
        <v>52323.5</v>
      </c>
      <c r="H185" s="20">
        <f>IF(Source!O79=0," ",Source!O79)</f>
        <v>48975</v>
      </c>
      <c r="I185" s="20">
        <f>IF(Source!S79=0," ",Source!S79)</f>
        <v>19351</v>
      </c>
      <c r="J185" s="20">
        <f>IF(Source!Q79=0," ",Source!Q79)</f>
        <v>11</v>
      </c>
      <c r="K185" s="20" t="str">
        <f>IF(Source!R79=0," ",Source!R79)</f>
        <v> </v>
      </c>
      <c r="L185" s="20">
        <f>IF(Source!P79=0," ",Source!P79)</f>
        <v>29613</v>
      </c>
      <c r="M185" s="21">
        <f>IF(Source!U79=0," ",ROUND(Source!U79,6))</f>
        <v>153.9252</v>
      </c>
      <c r="N185" s="21" t="str">
        <f>IF(Source!V79=0," ",ROUND(Source!V79,6))</f>
        <v> </v>
      </c>
      <c r="T185">
        <f>IF(Source!O79=0," ",Source!O79)</f>
        <v>48975</v>
      </c>
      <c r="U185">
        <v>29613</v>
      </c>
      <c r="V185">
        <f>IF(Source!S79=0," ",Source!S79)</f>
        <v>19351</v>
      </c>
      <c r="W185">
        <f>IF(Source!Q79=0," ",Source!Q79)</f>
        <v>11</v>
      </c>
      <c r="X185" t="str">
        <f>IF(Source!R79=0," ",Source!R79)</f>
        <v> </v>
      </c>
      <c r="Y185">
        <f>IF(Source!U79=0," ",ROUND(Source!U79,6))</f>
        <v>153.9252</v>
      </c>
      <c r="Z185" t="str">
        <f>IF(Source!V79=0," ",ROUND(Source!V79,6))</f>
        <v> </v>
      </c>
    </row>
    <row r="186" spans="1:14" ht="15">
      <c r="A186" s="57"/>
      <c r="B186" s="57"/>
      <c r="C186" s="22" t="s">
        <v>154</v>
      </c>
      <c r="D186" s="23" t="str">
        <f>CONCATENATE(Source!AT79," %")</f>
        <v>106,2 %</v>
      </c>
      <c r="E186" s="23"/>
      <c r="F186" s="23"/>
      <c r="G186" s="23"/>
      <c r="H186" s="24">
        <f>Source!X79</f>
        <v>20551</v>
      </c>
      <c r="I186" s="57"/>
      <c r="J186" s="57"/>
      <c r="K186" s="57"/>
      <c r="L186" s="57"/>
      <c r="M186" s="57"/>
      <c r="N186" s="57"/>
    </row>
    <row r="187" spans="1:14" ht="15">
      <c r="A187" s="57"/>
      <c r="B187" s="57"/>
      <c r="C187" s="22" t="s">
        <v>156</v>
      </c>
      <c r="D187" s="23" t="str">
        <f>CONCATENATE(Source!AU79," %")</f>
        <v>53,55 %</v>
      </c>
      <c r="E187" s="23"/>
      <c r="F187" s="23"/>
      <c r="G187" s="23"/>
      <c r="H187" s="24">
        <f>Source!Y79</f>
        <v>10362</v>
      </c>
      <c r="I187" s="57"/>
      <c r="J187" s="57"/>
      <c r="K187" s="57"/>
      <c r="L187" s="57"/>
      <c r="M187" s="57"/>
      <c r="N187" s="57"/>
    </row>
    <row r="188" spans="1:14" ht="14.25">
      <c r="A188" s="58"/>
      <c r="B188" s="58"/>
      <c r="C188" s="25" t="s">
        <v>551</v>
      </c>
      <c r="D188" s="26"/>
      <c r="E188" s="26"/>
      <c r="F188" s="26"/>
      <c r="G188" s="26"/>
      <c r="H188" s="27">
        <f>SUMIF(Source!AA79:Source!AA79,"=27243028",Source!GM79:Source!GM79)</f>
        <v>79888</v>
      </c>
      <c r="I188" s="58"/>
      <c r="J188" s="58"/>
      <c r="K188" s="58"/>
      <c r="L188" s="58"/>
      <c r="M188" s="58"/>
      <c r="N188" s="58"/>
    </row>
    <row r="189" spans="1:14" ht="28.5">
      <c r="A189" s="28"/>
      <c r="B189" s="31" t="str">
        <f>SmtRes!I113</f>
        <v>1-1030-12</v>
      </c>
      <c r="C189" s="31" t="s">
        <v>590</v>
      </c>
      <c r="D189" s="29" t="str">
        <f>SmtRes!O113</f>
        <v>чел.-ч</v>
      </c>
      <c r="E189" s="29">
        <f>SmtRes!Y113</f>
        <v>164.45</v>
      </c>
      <c r="F189" s="29">
        <f>SmtRes!Y113*Source!I79</f>
        <v>153.9252</v>
      </c>
      <c r="G189" s="32">
        <f>(SmtRes!AA113+SmtRes!AB113+SmtRes!AD113)</f>
        <v>125.72</v>
      </c>
      <c r="H189" s="33">
        <f>(SmtRes!AA113*SmtRes!Y113*Source!I79+SmtRes!AB113*SmtRes!Y113*Source!I79+SmtRes!AD113*SmtRes!Y113*Source!I79)</f>
        <v>19351.476144</v>
      </c>
      <c r="I189" s="33">
        <f>SmtRes!AD113*SmtRes!Y113*Source!I79</f>
        <v>19351.476144</v>
      </c>
      <c r="J189" s="29"/>
      <c r="K189" s="29"/>
      <c r="L189" s="29"/>
      <c r="M189" s="29"/>
      <c r="N189" s="30"/>
    </row>
    <row r="190" spans="1:14" ht="28.5">
      <c r="A190" s="34"/>
      <c r="B190" s="37" t="str">
        <f>SmtRes!I114</f>
        <v>331531</v>
      </c>
      <c r="C190" s="37" t="s">
        <v>591</v>
      </c>
      <c r="D190" s="35" t="str">
        <f>SmtRes!O114</f>
        <v>маш.-ч</v>
      </c>
      <c r="E190" s="35">
        <f>SmtRes!Y114</f>
        <v>1.7874999999999999</v>
      </c>
      <c r="F190" s="35">
        <f>SmtRes!Y114*Source!I79</f>
        <v>1.6731</v>
      </c>
      <c r="G190" s="38">
        <f>(SmtRes!AA114+SmtRes!AB114+SmtRes!AD114)</f>
        <v>6.4</v>
      </c>
      <c r="H190" s="39">
        <f>(SmtRes!AA114*SmtRes!Y114*Source!I79+SmtRes!AB114*SmtRes!Y114*Source!I79+SmtRes!AD114*SmtRes!Y114*Source!I79)</f>
        <v>10.707840000000001</v>
      </c>
      <c r="I190" s="35"/>
      <c r="J190" s="39">
        <f>SmtRes!AB114*SmtRes!Y114*Source!I79</f>
        <v>10.707840000000001</v>
      </c>
      <c r="K190" s="39">
        <f>SmtRes!AC114*SmtRes!Y114*Source!I79</f>
        <v>0</v>
      </c>
      <c r="L190" s="35"/>
      <c r="M190" s="35"/>
      <c r="N190" s="36"/>
    </row>
    <row r="191" spans="1:14" ht="15">
      <c r="A191" s="34"/>
      <c r="B191" s="37" t="str">
        <f>SmtRes!I115</f>
        <v>101-1805</v>
      </c>
      <c r="C191" s="37" t="str">
        <f>SmtRes!K115</f>
        <v>Гвозди строительные</v>
      </c>
      <c r="D191" s="35" t="str">
        <f>SmtRes!O115</f>
        <v>т</v>
      </c>
      <c r="E191" s="35">
        <f>SmtRes!Y115</f>
        <v>0.0036</v>
      </c>
      <c r="F191" s="35">
        <f>SmtRes!Y115*Source!I79</f>
        <v>0.0033696</v>
      </c>
      <c r="G191" s="38">
        <f>(SmtRes!AA115+SmtRes!AB115+SmtRes!AD115)</f>
        <v>65000</v>
      </c>
      <c r="H191" s="39">
        <f>(SmtRes!AA115*SmtRes!Y115*Source!I79+SmtRes!AB115*SmtRes!Y115*Source!I79+SmtRes!AD115*SmtRes!Y115*Source!I79)</f>
        <v>219.024</v>
      </c>
      <c r="I191" s="35"/>
      <c r="J191" s="35"/>
      <c r="K191" s="35"/>
      <c r="L191" s="39">
        <f>SmtRes!AA115*SmtRes!Y115*Source!I79</f>
        <v>219.024</v>
      </c>
      <c r="M191" s="35"/>
      <c r="N191" s="36"/>
    </row>
    <row r="192" spans="1:14" ht="15">
      <c r="A192" s="34"/>
      <c r="B192" s="37" t="str">
        <f>SmtRes!I116</f>
        <v>102-0048</v>
      </c>
      <c r="C192" s="37" t="str">
        <f>SmtRes!K116</f>
        <v>Брус 50*50</v>
      </c>
      <c r="D192" s="35" t="str">
        <f>SmtRes!O116</f>
        <v>м3</v>
      </c>
      <c r="E192" s="35">
        <f>SmtRes!Y116</f>
        <v>1.5</v>
      </c>
      <c r="F192" s="35">
        <f>SmtRes!Y116*Source!I79</f>
        <v>1.4040000000000001</v>
      </c>
      <c r="G192" s="38">
        <f>(SmtRes!AA116+SmtRes!AB116+SmtRes!AD116)</f>
        <v>5762.71</v>
      </c>
      <c r="H192" s="39">
        <f>(SmtRes!AA116*SmtRes!Y116*Source!I79+SmtRes!AB116*SmtRes!Y116*Source!I79+SmtRes!AD116*SmtRes!Y116*Source!I79)</f>
        <v>8090.844840000001</v>
      </c>
      <c r="I192" s="35"/>
      <c r="J192" s="35"/>
      <c r="K192" s="35"/>
      <c r="L192" s="39">
        <f>SmtRes!AA116*SmtRes!Y116*Source!I79</f>
        <v>8090.844840000001</v>
      </c>
      <c r="M192" s="35"/>
      <c r="N192" s="36"/>
    </row>
    <row r="193" spans="1:14" ht="15">
      <c r="A193" s="34"/>
      <c r="B193" s="37" t="str">
        <f>SmtRes!I117</f>
        <v>102-0060</v>
      </c>
      <c r="C193" s="37" t="str">
        <f>SmtRes!K117</f>
        <v>Плита ОSВ</v>
      </c>
      <c r="D193" s="35" t="str">
        <f>SmtRes!O117</f>
        <v>м2</v>
      </c>
      <c r="E193" s="35">
        <f>SmtRes!Y117</f>
        <v>106</v>
      </c>
      <c r="F193" s="35">
        <f>SmtRes!Y117*Source!I79</f>
        <v>99.21600000000001</v>
      </c>
      <c r="G193" s="38">
        <f>(SmtRes!AA117+SmtRes!AB117+SmtRes!AD117)</f>
        <v>203.39</v>
      </c>
      <c r="H193" s="39">
        <f>(SmtRes!AA117*SmtRes!Y117*Source!I79+SmtRes!AB117*SmtRes!Y117*Source!I79+SmtRes!AD117*SmtRes!Y117*Source!I79)</f>
        <v>20179.542240000002</v>
      </c>
      <c r="I193" s="35"/>
      <c r="J193" s="35"/>
      <c r="K193" s="35"/>
      <c r="L193" s="39">
        <f>SmtRes!AA117*SmtRes!Y117*Source!I79</f>
        <v>20179.542240000002</v>
      </c>
      <c r="M193" s="35"/>
      <c r="N193" s="36"/>
    </row>
    <row r="194" spans="1:14" ht="15">
      <c r="A194" s="40"/>
      <c r="B194" s="41" t="str">
        <f>SmtRes!I118</f>
        <v>203-0367</v>
      </c>
      <c r="C194" s="41" t="str">
        <f>SmtRes!K118</f>
        <v>Анкерный болт</v>
      </c>
      <c r="D194" s="42" t="str">
        <f>SmtRes!O118</f>
        <v>шт.</v>
      </c>
      <c r="E194" s="42">
        <f>SmtRes!Y118</f>
        <v>100</v>
      </c>
      <c r="F194" s="42">
        <f>SmtRes!Y118*Source!I79</f>
        <v>93.60000000000001</v>
      </c>
      <c r="G194" s="43">
        <f>(SmtRes!AA118+SmtRes!AB118+SmtRes!AD118)</f>
        <v>12</v>
      </c>
      <c r="H194" s="44">
        <f>(SmtRes!AA118*SmtRes!Y118*Source!I79+SmtRes!AB118*SmtRes!Y118*Source!I79+SmtRes!AD118*SmtRes!Y118*Source!I79)</f>
        <v>1123.2</v>
      </c>
      <c r="I194" s="42"/>
      <c r="J194" s="42"/>
      <c r="K194" s="42"/>
      <c r="L194" s="44">
        <f>SmtRes!AA118*SmtRes!Y118*Source!I79</f>
        <v>1123.2</v>
      </c>
      <c r="M194" s="42"/>
      <c r="N194" s="45"/>
    </row>
    <row r="195" spans="1:26" ht="39.75">
      <c r="A195" s="16" t="str">
        <f>IF(Source!E80&lt;&gt;"",Source!E80,"")</f>
        <v>3</v>
      </c>
      <c r="B195" s="16" t="str">
        <f>IF(Source!F80&lt;&gt;"",Source!F80,"")</f>
        <v>16-07-002-01</v>
      </c>
      <c r="C195" s="16" t="s">
        <v>602</v>
      </c>
      <c r="D195" s="17" t="str">
        <f>IF(Source!H80&lt;&gt;"",Source!H80,"")</f>
        <v>1 воронка</v>
      </c>
      <c r="E195" s="17" t="str">
        <f>IF(Source!J80=0," ",Source!J80)</f>
        <v> </v>
      </c>
      <c r="F195" s="18">
        <f>Source!I80</f>
        <v>4</v>
      </c>
      <c r="G195" s="19">
        <f>IF(Source!AB80=0," ",Source!AB80)</f>
        <v>338.57</v>
      </c>
      <c r="H195" s="20">
        <f>IF(Source!O80=0," ",Source!O80)</f>
        <v>1354</v>
      </c>
      <c r="I195" s="20">
        <f>IF(Source!S80=0," ",Source!S80)</f>
        <v>1354</v>
      </c>
      <c r="J195" s="20" t="str">
        <f>IF(Source!Q80=0," ",Source!Q80)</f>
        <v> </v>
      </c>
      <c r="K195" s="20" t="str">
        <f>IF(Source!R80=0," ",Source!R80)</f>
        <v> </v>
      </c>
      <c r="L195" s="20" t="str">
        <f>IF(Source!P80=0," ",Source!P80)</f>
        <v> </v>
      </c>
      <c r="M195" s="21">
        <f>IF(Source!U80=0," ",ROUND(Source!U80,6))</f>
        <v>9.408</v>
      </c>
      <c r="N195" s="21" t="str">
        <f>IF(Source!V80=0," ",ROUND(Source!V80,6))</f>
        <v> </v>
      </c>
      <c r="T195">
        <f>IF(Source!O80=0," ",Source!O80)</f>
        <v>1354</v>
      </c>
      <c r="U195" t="s">
        <v>549</v>
      </c>
      <c r="V195">
        <f>IF(Source!S80=0," ",Source!S80)</f>
        <v>1354</v>
      </c>
      <c r="W195" t="str">
        <f>IF(Source!Q80=0," ",Source!Q80)</f>
        <v> </v>
      </c>
      <c r="X195" t="str">
        <f>IF(Source!R80=0," ",Source!R80)</f>
        <v> </v>
      </c>
      <c r="Y195">
        <f>IF(Source!U80=0," ",ROUND(Source!U80,6))</f>
        <v>9.408</v>
      </c>
      <c r="Z195" t="str">
        <f>IF(Source!V80=0," ",ROUND(Source!V80,6))</f>
        <v> </v>
      </c>
    </row>
    <row r="196" spans="1:14" ht="15">
      <c r="A196" s="57"/>
      <c r="B196" s="57"/>
      <c r="C196" s="22" t="s">
        <v>154</v>
      </c>
      <c r="D196" s="23" t="str">
        <f>CONCATENATE(Source!AT80," %")</f>
        <v>128 %</v>
      </c>
      <c r="E196" s="23"/>
      <c r="F196" s="23"/>
      <c r="G196" s="23"/>
      <c r="H196" s="24">
        <f>Source!X80</f>
        <v>1733</v>
      </c>
      <c r="I196" s="57"/>
      <c r="J196" s="57"/>
      <c r="K196" s="57"/>
      <c r="L196" s="57"/>
      <c r="M196" s="57"/>
      <c r="N196" s="57"/>
    </row>
    <row r="197" spans="1:14" ht="15">
      <c r="A197" s="57"/>
      <c r="B197" s="57"/>
      <c r="C197" s="22" t="s">
        <v>156</v>
      </c>
      <c r="D197" s="23" t="str">
        <f>CONCATENATE(Source!AU80," %")</f>
        <v>83 %</v>
      </c>
      <c r="E197" s="23"/>
      <c r="F197" s="23"/>
      <c r="G197" s="23"/>
      <c r="H197" s="24">
        <f>Source!Y80</f>
        <v>1124</v>
      </c>
      <c r="I197" s="57"/>
      <c r="J197" s="57"/>
      <c r="K197" s="57"/>
      <c r="L197" s="57"/>
      <c r="M197" s="57"/>
      <c r="N197" s="57"/>
    </row>
    <row r="198" spans="1:14" ht="14.25">
      <c r="A198" s="58"/>
      <c r="B198" s="58"/>
      <c r="C198" s="25" t="s">
        <v>551</v>
      </c>
      <c r="D198" s="26"/>
      <c r="E198" s="26"/>
      <c r="F198" s="26"/>
      <c r="G198" s="26"/>
      <c r="H198" s="27">
        <f>SUMIF(Source!AA80:Source!AA80,"=27243028",Source!GM80:Source!GM80)</f>
        <v>4211</v>
      </c>
      <c r="I198" s="58"/>
      <c r="J198" s="58"/>
      <c r="K198" s="58"/>
      <c r="L198" s="58"/>
      <c r="M198" s="58"/>
      <c r="N198" s="58"/>
    </row>
    <row r="199" spans="1:14" ht="43.5">
      <c r="A199" s="46"/>
      <c r="B199" s="47" t="str">
        <f>SmtRes!I119</f>
        <v>1-1041-12</v>
      </c>
      <c r="C199" s="47" t="s">
        <v>603</v>
      </c>
      <c r="D199" s="48" t="str">
        <f>SmtRes!O119</f>
        <v>чел.-ч</v>
      </c>
      <c r="E199" s="48">
        <f>SmtRes!Y119</f>
        <v>2.352</v>
      </c>
      <c r="F199" s="48">
        <f>SmtRes!Y119*Source!I80</f>
        <v>9.408</v>
      </c>
      <c r="G199" s="49">
        <f>(SmtRes!AA119+SmtRes!AB119+SmtRes!AD119)</f>
        <v>143.95</v>
      </c>
      <c r="H199" s="50">
        <f>(SmtRes!AA119*SmtRes!Y119*Source!I80+SmtRes!AB119*SmtRes!Y119*Source!I80+SmtRes!AD119*SmtRes!Y119*Source!I80)</f>
        <v>1354.2815999999998</v>
      </c>
      <c r="I199" s="50">
        <f>SmtRes!AD119*SmtRes!Y119*Source!I80</f>
        <v>1354.2815999999998</v>
      </c>
      <c r="J199" s="48"/>
      <c r="K199" s="48"/>
      <c r="L199" s="48"/>
      <c r="M199" s="48"/>
      <c r="N199" s="51"/>
    </row>
    <row r="200" spans="1:26" ht="39.75">
      <c r="A200" s="16" t="str">
        <f>IF(Source!E81&lt;&gt;"",Source!E81,"")</f>
        <v>4</v>
      </c>
      <c r="B200" s="16" t="str">
        <f>IF(Source!F81&lt;&gt;"",Source!F81,"")</f>
        <v>16-07-002-01</v>
      </c>
      <c r="C200" s="16" t="s">
        <v>604</v>
      </c>
      <c r="D200" s="17" t="str">
        <f>IF(Source!H81&lt;&gt;"",Source!H81,"")</f>
        <v>1 воронка</v>
      </c>
      <c r="E200" s="17" t="str">
        <f>IF(Source!J81=0," ",Source!J81)</f>
        <v> </v>
      </c>
      <c r="F200" s="18">
        <f>Source!I81</f>
        <v>4</v>
      </c>
      <c r="G200" s="19">
        <f>IF(Source!AB81=0," ",Source!AB81)</f>
        <v>2954.93</v>
      </c>
      <c r="H200" s="20">
        <f>IF(Source!O81=0," ",Source!O81)</f>
        <v>11820</v>
      </c>
      <c r="I200" s="20">
        <f>IF(Source!S81=0," ",Source!S81)</f>
        <v>1947</v>
      </c>
      <c r="J200" s="20">
        <f>IF(Source!Q81=0," ",Source!Q81)</f>
        <v>42</v>
      </c>
      <c r="K200" s="20" t="str">
        <f>IF(Source!R81=0," ",Source!R81)</f>
        <v> </v>
      </c>
      <c r="L200" s="20">
        <f>IF(Source!P81=0," ",Source!P81)</f>
        <v>9831</v>
      </c>
      <c r="M200" s="21">
        <f>IF(Source!U81=0," ",ROUND(Source!U81,6))</f>
        <v>13.524</v>
      </c>
      <c r="N200" s="21">
        <f>IF(Source!V81=0," ",ROUND(Source!V81,6))</f>
        <v>0.05</v>
      </c>
      <c r="T200">
        <f>IF(Source!O81=0," ",Source!O81)</f>
        <v>11820</v>
      </c>
      <c r="U200">
        <v>9831</v>
      </c>
      <c r="V200">
        <f>IF(Source!S81=0," ",Source!S81)</f>
        <v>1947</v>
      </c>
      <c r="W200">
        <f>IF(Source!Q81=0," ",Source!Q81)</f>
        <v>42</v>
      </c>
      <c r="X200" t="str">
        <f>IF(Source!R81=0," ",Source!R81)</f>
        <v> </v>
      </c>
      <c r="Y200">
        <f>IF(Source!U81=0," ",ROUND(Source!U81,6))</f>
        <v>13.524</v>
      </c>
      <c r="Z200">
        <f>IF(Source!V81=0," ",ROUND(Source!V81,6))</f>
        <v>0.05</v>
      </c>
    </row>
    <row r="201" spans="1:14" ht="15">
      <c r="A201" s="57"/>
      <c r="B201" s="57"/>
      <c r="C201" s="22" t="s">
        <v>154</v>
      </c>
      <c r="D201" s="23" t="str">
        <f>CONCATENATE(Source!AT81," %")</f>
        <v>115,2 %</v>
      </c>
      <c r="E201" s="23"/>
      <c r="F201" s="23"/>
      <c r="G201" s="23"/>
      <c r="H201" s="24">
        <f>Source!X81</f>
        <v>2243</v>
      </c>
      <c r="I201" s="57"/>
      <c r="J201" s="57"/>
      <c r="K201" s="57"/>
      <c r="L201" s="57"/>
      <c r="M201" s="57"/>
      <c r="N201" s="57"/>
    </row>
    <row r="202" spans="1:14" ht="15">
      <c r="A202" s="57"/>
      <c r="B202" s="57"/>
      <c r="C202" s="22" t="s">
        <v>156</v>
      </c>
      <c r="D202" s="23" t="str">
        <f>CONCATENATE(Source!AU81," %")</f>
        <v>70,55 %</v>
      </c>
      <c r="E202" s="23"/>
      <c r="F202" s="23"/>
      <c r="G202" s="23"/>
      <c r="H202" s="24">
        <f>Source!Y81</f>
        <v>1374</v>
      </c>
      <c r="I202" s="57"/>
      <c r="J202" s="57"/>
      <c r="K202" s="57"/>
      <c r="L202" s="57"/>
      <c r="M202" s="57"/>
      <c r="N202" s="57"/>
    </row>
    <row r="203" spans="1:14" ht="14.25">
      <c r="A203" s="58"/>
      <c r="B203" s="58"/>
      <c r="C203" s="25" t="s">
        <v>551</v>
      </c>
      <c r="D203" s="26"/>
      <c r="E203" s="26"/>
      <c r="F203" s="26"/>
      <c r="G203" s="26"/>
      <c r="H203" s="27">
        <f>SUMIF(Source!AA81:Source!AA81,"=27243028",Source!GM81:Source!GM81)</f>
        <v>15437</v>
      </c>
      <c r="I203" s="58"/>
      <c r="J203" s="58"/>
      <c r="K203" s="58"/>
      <c r="L203" s="58"/>
      <c r="M203" s="58"/>
      <c r="N203" s="58"/>
    </row>
    <row r="204" spans="1:14" ht="43.5">
      <c r="A204" s="28"/>
      <c r="B204" s="31" t="str">
        <f>SmtRes!I120</f>
        <v>1-1041-12</v>
      </c>
      <c r="C204" s="31" t="s">
        <v>605</v>
      </c>
      <c r="D204" s="29" t="str">
        <f>SmtRes!O120</f>
        <v>чел.-ч</v>
      </c>
      <c r="E204" s="29">
        <f>SmtRes!Y120</f>
        <v>3.381</v>
      </c>
      <c r="F204" s="29">
        <f>SmtRes!Y120*Source!I81</f>
        <v>13.524</v>
      </c>
      <c r="G204" s="32">
        <f>(SmtRes!AA120+SmtRes!AB120+SmtRes!AD120)</f>
        <v>143.95</v>
      </c>
      <c r="H204" s="33">
        <f>(SmtRes!AA120*SmtRes!Y120*Source!I81+SmtRes!AB120*SmtRes!Y120*Source!I81+SmtRes!AD120*SmtRes!Y120*Source!I81)</f>
        <v>1946.7797999999998</v>
      </c>
      <c r="I204" s="33">
        <f>SmtRes!AD120*SmtRes!Y120*Source!I81</f>
        <v>1946.7797999999998</v>
      </c>
      <c r="J204" s="29"/>
      <c r="K204" s="29"/>
      <c r="L204" s="29"/>
      <c r="M204" s="29"/>
      <c r="N204" s="30"/>
    </row>
    <row r="205" spans="1:14" ht="28.5">
      <c r="A205" s="34"/>
      <c r="B205" s="37" t="str">
        <f>SmtRes!I121</f>
        <v>2</v>
      </c>
      <c r="C205" s="37" t="s">
        <v>559</v>
      </c>
      <c r="D205" s="35" t="str">
        <f>SmtRes!O121</f>
        <v>чел.час</v>
      </c>
      <c r="E205" s="35">
        <f>SmtRes!Y121</f>
        <v>0.0125</v>
      </c>
      <c r="F205" s="35">
        <f>SmtRes!Y121*Source!I81</f>
        <v>0.05</v>
      </c>
      <c r="G205" s="38">
        <f>(SmtRes!AA121+SmtRes!AB121+SmtRes!AD121)</f>
        <v>0</v>
      </c>
      <c r="H205" s="39">
        <f>(SmtRes!AA121*SmtRes!Y121*Source!I81+SmtRes!AB121*SmtRes!Y121*Source!I81+SmtRes!AD121*SmtRes!Y121*Source!I81)</f>
        <v>0</v>
      </c>
      <c r="I205" s="35"/>
      <c r="J205" s="35"/>
      <c r="K205" s="39">
        <f>SmtRes!AC121*SmtRes!Y121*Source!I81</f>
        <v>0</v>
      </c>
      <c r="L205" s="35"/>
      <c r="M205" s="35"/>
      <c r="N205" s="36"/>
    </row>
    <row r="206" spans="1:14" ht="43.5">
      <c r="A206" s="34"/>
      <c r="B206" s="37" t="str">
        <f>SmtRes!I122</f>
        <v>020129</v>
      </c>
      <c r="C206" s="37" t="s">
        <v>574</v>
      </c>
      <c r="D206" s="35" t="str">
        <f>SmtRes!O122</f>
        <v>маш.-ч</v>
      </c>
      <c r="E206" s="35">
        <f>SmtRes!Y122</f>
        <v>0.0125</v>
      </c>
      <c r="F206" s="35">
        <f>SmtRes!Y122*Source!I81</f>
        <v>0.05</v>
      </c>
      <c r="G206" s="38">
        <f>(SmtRes!AA122+SmtRes!AB122+SmtRes!AD122)</f>
        <v>849.15</v>
      </c>
      <c r="H206" s="39">
        <f>(SmtRes!AA122*SmtRes!Y122*Source!I81+SmtRes!AB122*SmtRes!Y122*Source!I81+SmtRes!AD122*SmtRes!Y122*Source!I81)</f>
        <v>42.4575</v>
      </c>
      <c r="I206" s="35"/>
      <c r="J206" s="39">
        <f>SmtRes!AB122*SmtRes!Y122*Source!I81</f>
        <v>42.4575</v>
      </c>
      <c r="K206" s="39">
        <f>SmtRes!AC122*SmtRes!Y122*Source!I81</f>
        <v>0</v>
      </c>
      <c r="L206" s="35"/>
      <c r="M206" s="35"/>
      <c r="N206" s="36"/>
    </row>
    <row r="207" spans="1:14" ht="15">
      <c r="A207" s="40"/>
      <c r="B207" s="41" t="str">
        <f>SmtRes!I123</f>
        <v>301-3302</v>
      </c>
      <c r="C207" s="41" t="str">
        <f>SmtRes!K123</f>
        <v>Воронка водосточная</v>
      </c>
      <c r="D207" s="42" t="str">
        <f>SmtRes!O123</f>
        <v>шт.</v>
      </c>
      <c r="E207" s="42">
        <f>SmtRes!Y123</f>
        <v>1</v>
      </c>
      <c r="F207" s="42">
        <f>SmtRes!Y123*Source!I81</f>
        <v>4</v>
      </c>
      <c r="G207" s="43">
        <f>(SmtRes!AA123+SmtRes!AB123+SmtRes!AD123)</f>
        <v>2457.63</v>
      </c>
      <c r="H207" s="44">
        <f>(SmtRes!AA123*SmtRes!Y123*Source!I81+SmtRes!AB123*SmtRes!Y123*Source!I81+SmtRes!AD123*SmtRes!Y123*Source!I81)</f>
        <v>9830.52</v>
      </c>
      <c r="I207" s="42"/>
      <c r="J207" s="42"/>
      <c r="K207" s="42"/>
      <c r="L207" s="44">
        <f>SmtRes!AA123*SmtRes!Y123*Source!I81</f>
        <v>9830.52</v>
      </c>
      <c r="M207" s="42"/>
      <c r="N207" s="45"/>
    </row>
    <row r="208" spans="1:26" ht="68.25">
      <c r="A208" s="16" t="str">
        <f>IF(Source!E82&lt;&gt;"",Source!E82,"")</f>
        <v>5</v>
      </c>
      <c r="B208" s="16" t="str">
        <f>IF(Source!F82&lt;&gt;"",Source!F82,"")</f>
        <v>12-01-021-1</v>
      </c>
      <c r="C208" s="16" t="s">
        <v>592</v>
      </c>
      <c r="D208" s="17" t="str">
        <f>IF(Source!H82&lt;&gt;"",Source!H82,"")</f>
        <v>100 м2 кровли</v>
      </c>
      <c r="E208" s="17" t="str">
        <f>IF(Source!J82=0," ",Source!J82)</f>
        <v> </v>
      </c>
      <c r="F208" s="18">
        <f>Source!I82</f>
        <v>26.68</v>
      </c>
      <c r="G208" s="19">
        <f>IF(Source!AB82=0," ",Source!AB82)</f>
        <v>231863.35</v>
      </c>
      <c r="H208" s="20">
        <f>IF(Source!O82=0," ",Source!O82)</f>
        <v>6186114</v>
      </c>
      <c r="I208" s="20">
        <f>IF(Source!S82=0," ",Source!S82)</f>
        <v>250029</v>
      </c>
      <c r="J208" s="20">
        <f>IF(Source!Q82=0," ",Source!Q82)</f>
        <v>14396</v>
      </c>
      <c r="K208" s="20" t="str">
        <f>IF(Source!R82=0," ",Source!R82)</f>
        <v> </v>
      </c>
      <c r="L208" s="20">
        <f>IF(Source!P82=0," ",Source!P82)</f>
        <v>5921689</v>
      </c>
      <c r="M208" s="21">
        <f>IF(Source!U82=0," ",ROUND(Source!U82,6))</f>
        <v>1890.0112</v>
      </c>
      <c r="N208" s="21">
        <f>IF(Source!V82=0," ",ROUND(Source!V82,6))</f>
        <v>3.335</v>
      </c>
      <c r="T208">
        <f>IF(Source!O82=0," ",Source!O82)</f>
        <v>6186114</v>
      </c>
      <c r="U208">
        <v>5921689</v>
      </c>
      <c r="V208">
        <f>IF(Source!S82=0," ",Source!S82)</f>
        <v>250029</v>
      </c>
      <c r="W208">
        <f>IF(Source!Q82=0," ",Source!Q82)</f>
        <v>14396</v>
      </c>
      <c r="X208" t="str">
        <f>IF(Source!R82=0," ",Source!R82)</f>
        <v> </v>
      </c>
      <c r="Y208">
        <f>IF(Source!U82=0," ",ROUND(Source!U82,6))</f>
        <v>1890.0112</v>
      </c>
      <c r="Z208">
        <f>IF(Source!V82=0," ",ROUND(Source!V82,6))</f>
        <v>3.335</v>
      </c>
    </row>
    <row r="209" spans="1:14" ht="15">
      <c r="A209" s="57"/>
      <c r="B209" s="57"/>
      <c r="C209" s="22" t="s">
        <v>154</v>
      </c>
      <c r="D209" s="23" t="str">
        <f>CONCATENATE(Source!AT82," %")</f>
        <v>108 %</v>
      </c>
      <c r="E209" s="23"/>
      <c r="F209" s="23"/>
      <c r="G209" s="23"/>
      <c r="H209" s="24">
        <f>Source!X82</f>
        <v>270031</v>
      </c>
      <c r="I209" s="57"/>
      <c r="J209" s="57"/>
      <c r="K209" s="57"/>
      <c r="L209" s="57"/>
      <c r="M209" s="57"/>
      <c r="N209" s="57"/>
    </row>
    <row r="210" spans="1:14" ht="15">
      <c r="A210" s="57"/>
      <c r="B210" s="57"/>
      <c r="C210" s="22" t="s">
        <v>156</v>
      </c>
      <c r="D210" s="23" t="str">
        <f>CONCATENATE(Source!AU82," %")</f>
        <v>55,25 %</v>
      </c>
      <c r="E210" s="23"/>
      <c r="F210" s="23"/>
      <c r="G210" s="23"/>
      <c r="H210" s="24">
        <f>Source!Y82</f>
        <v>138141</v>
      </c>
      <c r="I210" s="57"/>
      <c r="J210" s="57"/>
      <c r="K210" s="57"/>
      <c r="L210" s="57"/>
      <c r="M210" s="57"/>
      <c r="N210" s="57"/>
    </row>
    <row r="211" spans="1:14" ht="14.25">
      <c r="A211" s="58"/>
      <c r="B211" s="58"/>
      <c r="C211" s="25" t="s">
        <v>551</v>
      </c>
      <c r="D211" s="26"/>
      <c r="E211" s="26"/>
      <c r="F211" s="26"/>
      <c r="G211" s="26"/>
      <c r="H211" s="27">
        <f>SUMIF(Source!AA82:Source!AA82,"=27243028",Source!GM82:Source!GM82)</f>
        <v>6594286</v>
      </c>
      <c r="I211" s="58"/>
      <c r="J211" s="58"/>
      <c r="K211" s="58"/>
      <c r="L211" s="58"/>
      <c r="M211" s="58"/>
      <c r="N211" s="58"/>
    </row>
    <row r="212" spans="1:14" ht="43.5">
      <c r="A212" s="28"/>
      <c r="B212" s="31" t="str">
        <f>SmtRes!I124</f>
        <v>1-1034-12</v>
      </c>
      <c r="C212" s="31" t="s">
        <v>570</v>
      </c>
      <c r="D212" s="29" t="str">
        <f>SmtRes!O124</f>
        <v>чел.-ч</v>
      </c>
      <c r="E212" s="29">
        <f>SmtRes!Y124</f>
        <v>70.83999999999999</v>
      </c>
      <c r="F212" s="29">
        <f>SmtRes!Y124*Source!I82</f>
        <v>1890.0111999999997</v>
      </c>
      <c r="G212" s="32">
        <f>(SmtRes!AA124+SmtRes!AB124+SmtRes!AD124)</f>
        <v>132.29</v>
      </c>
      <c r="H212" s="33">
        <f>(SmtRes!AA124*SmtRes!Y124*Source!I82+SmtRes!AB124*SmtRes!Y124*Source!I82+SmtRes!AD124*SmtRes!Y124*Source!I82)</f>
        <v>250029.58164799996</v>
      </c>
      <c r="I212" s="33">
        <f>SmtRes!AD124*SmtRes!Y124*Source!I82</f>
        <v>250029.58164799996</v>
      </c>
      <c r="J212" s="29"/>
      <c r="K212" s="29"/>
      <c r="L212" s="29"/>
      <c r="M212" s="29"/>
      <c r="N212" s="30"/>
    </row>
    <row r="213" spans="1:14" ht="28.5">
      <c r="A213" s="34"/>
      <c r="B213" s="37" t="str">
        <f>SmtRes!I125</f>
        <v>2</v>
      </c>
      <c r="C213" s="37" t="s">
        <v>559</v>
      </c>
      <c r="D213" s="35" t="str">
        <f>SmtRes!O125</f>
        <v>чел.час</v>
      </c>
      <c r="E213" s="35">
        <f>SmtRes!Y125</f>
        <v>0.125</v>
      </c>
      <c r="F213" s="35">
        <f>SmtRes!Y125*Source!I82</f>
        <v>3.335</v>
      </c>
      <c r="G213" s="38">
        <f>(SmtRes!AA125+SmtRes!AB125+SmtRes!AD125)</f>
        <v>0</v>
      </c>
      <c r="H213" s="39">
        <f>(SmtRes!AA125*SmtRes!Y125*Source!I82+SmtRes!AB125*SmtRes!Y125*Source!I82+SmtRes!AD125*SmtRes!Y125*Source!I82)</f>
        <v>0</v>
      </c>
      <c r="I213" s="35"/>
      <c r="J213" s="35"/>
      <c r="K213" s="39">
        <f>SmtRes!AC125*SmtRes!Y125*Source!I82</f>
        <v>0</v>
      </c>
      <c r="L213" s="35"/>
      <c r="M213" s="35"/>
      <c r="N213" s="36"/>
    </row>
    <row r="214" spans="1:14" ht="43.5">
      <c r="A214" s="34"/>
      <c r="B214" s="37" t="str">
        <f>SmtRes!I126</f>
        <v>020129</v>
      </c>
      <c r="C214" s="37" t="s">
        <v>574</v>
      </c>
      <c r="D214" s="35" t="str">
        <f>SmtRes!O126</f>
        <v>маш.-ч</v>
      </c>
      <c r="E214" s="35">
        <f>SmtRes!Y126</f>
        <v>0.08750000000000001</v>
      </c>
      <c r="F214" s="35">
        <f>SmtRes!Y126*Source!I82</f>
        <v>2.3345000000000002</v>
      </c>
      <c r="G214" s="38">
        <f>(SmtRes!AA126+SmtRes!AB126+SmtRes!AD126)</f>
        <v>849.15</v>
      </c>
      <c r="H214" s="39">
        <f>(SmtRes!AA126*SmtRes!Y126*Source!I82+SmtRes!AB126*SmtRes!Y126*Source!I82+SmtRes!AD126*SmtRes!Y126*Source!I82)</f>
        <v>1982.3406750000004</v>
      </c>
      <c r="I214" s="35"/>
      <c r="J214" s="39">
        <f>SmtRes!AB126*SmtRes!Y126*Source!I82</f>
        <v>1982.3406750000004</v>
      </c>
      <c r="K214" s="39">
        <f>SmtRes!AC126*SmtRes!Y126*Source!I82</f>
        <v>0</v>
      </c>
      <c r="L214" s="35"/>
      <c r="M214" s="35"/>
      <c r="N214" s="36"/>
    </row>
    <row r="215" spans="1:14" ht="43.5">
      <c r="A215" s="34"/>
      <c r="B215" s="37" t="str">
        <f>SmtRes!I127</f>
        <v>021141</v>
      </c>
      <c r="C215" s="37" t="s">
        <v>593</v>
      </c>
      <c r="D215" s="35" t="str">
        <f>SmtRes!O127</f>
        <v>маш.-ч.</v>
      </c>
      <c r="E215" s="35">
        <f>SmtRes!Y127</f>
        <v>0.0375</v>
      </c>
      <c r="F215" s="35">
        <f>SmtRes!Y127*Source!I82</f>
        <v>1.0005</v>
      </c>
      <c r="G215" s="38">
        <f>(SmtRes!AA127+SmtRes!AB127+SmtRes!AD127)</f>
        <v>636.03</v>
      </c>
      <c r="H215" s="39">
        <f>(SmtRes!AA127*SmtRes!Y127*Source!I82+SmtRes!AB127*SmtRes!Y127*Source!I82+SmtRes!AD127*SmtRes!Y127*Source!I82)</f>
        <v>636.348015</v>
      </c>
      <c r="I215" s="35"/>
      <c r="J215" s="39">
        <f>SmtRes!AB127*SmtRes!Y127*Source!I82</f>
        <v>636.348015</v>
      </c>
      <c r="K215" s="39">
        <f>SmtRes!AC127*SmtRes!Y127*Source!I82</f>
        <v>0</v>
      </c>
      <c r="L215" s="35"/>
      <c r="M215" s="35"/>
      <c r="N215" s="36"/>
    </row>
    <row r="216" spans="1:14" ht="28.5">
      <c r="A216" s="34"/>
      <c r="B216" s="37" t="str">
        <f>SmtRes!I128</f>
        <v>150401</v>
      </c>
      <c r="C216" s="37" t="s">
        <v>594</v>
      </c>
      <c r="D216" s="35" t="str">
        <f>SmtRes!O128</f>
        <v>маш.-ч.</v>
      </c>
      <c r="E216" s="35">
        <f>SmtRes!Y128</f>
        <v>2</v>
      </c>
      <c r="F216" s="35">
        <f>SmtRes!Y128*Source!I82</f>
        <v>53.36</v>
      </c>
      <c r="G216" s="38">
        <f>(SmtRes!AA128+SmtRes!AB128+SmtRes!AD128)</f>
        <v>12.61</v>
      </c>
      <c r="H216" s="39">
        <f>(SmtRes!AA128*SmtRes!Y128*Source!I82+SmtRes!AB128*SmtRes!Y128*Source!I82+SmtRes!AD128*SmtRes!Y128*Source!I82)</f>
        <v>672.8696</v>
      </c>
      <c r="I216" s="35"/>
      <c r="J216" s="39">
        <f>SmtRes!AB128*SmtRes!Y128*Source!I82</f>
        <v>672.8696</v>
      </c>
      <c r="K216" s="39">
        <f>SmtRes!AC128*SmtRes!Y128*Source!I82</f>
        <v>0</v>
      </c>
      <c r="L216" s="35"/>
      <c r="M216" s="35"/>
      <c r="N216" s="36"/>
    </row>
    <row r="217" spans="1:14" ht="28.5">
      <c r="A217" s="34"/>
      <c r="B217" s="37" t="str">
        <f>SmtRes!I129</f>
        <v>330206</v>
      </c>
      <c r="C217" s="37" t="s">
        <v>567</v>
      </c>
      <c r="D217" s="35" t="str">
        <f>SmtRes!O129</f>
        <v>маш.-ч</v>
      </c>
      <c r="E217" s="35">
        <f>SmtRes!Y129</f>
        <v>10.125</v>
      </c>
      <c r="F217" s="35">
        <f>SmtRes!Y129*Source!I82</f>
        <v>270.135</v>
      </c>
      <c r="G217" s="38">
        <f>(SmtRes!AA129+SmtRes!AB129+SmtRes!AD129)</f>
        <v>7.94</v>
      </c>
      <c r="H217" s="39">
        <f>(SmtRes!AA129*SmtRes!Y129*Source!I82+SmtRes!AB129*SmtRes!Y129*Source!I82+SmtRes!AD129*SmtRes!Y129*Source!I82)</f>
        <v>2144.8719</v>
      </c>
      <c r="I217" s="35"/>
      <c r="J217" s="39">
        <f>SmtRes!AB129*SmtRes!Y129*Source!I82</f>
        <v>2144.8719</v>
      </c>
      <c r="K217" s="39">
        <f>SmtRes!AC129*SmtRes!Y129*Source!I82</f>
        <v>0</v>
      </c>
      <c r="L217" s="35"/>
      <c r="M217" s="35"/>
      <c r="N217" s="36"/>
    </row>
    <row r="218" spans="1:14" ht="28.5">
      <c r="A218" s="34"/>
      <c r="B218" s="37" t="str">
        <f>SmtRes!I130</f>
        <v>331002</v>
      </c>
      <c r="C218" s="37" t="s">
        <v>595</v>
      </c>
      <c r="D218" s="35" t="str">
        <f>SmtRes!O130</f>
        <v>маш.-ч</v>
      </c>
      <c r="E218" s="35">
        <f>SmtRes!Y130</f>
        <v>1.2875</v>
      </c>
      <c r="F218" s="35">
        <f>SmtRes!Y130*Source!I82</f>
        <v>34.350500000000004</v>
      </c>
      <c r="G218" s="38">
        <f>(SmtRes!AA130+SmtRes!AB130+SmtRes!AD130)</f>
        <v>10.87</v>
      </c>
      <c r="H218" s="39">
        <f>(SmtRes!AA130*SmtRes!Y130*Source!I82+SmtRes!AB130*SmtRes!Y130*Source!I82+SmtRes!AD130*SmtRes!Y130*Source!I82)</f>
        <v>373.389935</v>
      </c>
      <c r="I218" s="35"/>
      <c r="J218" s="39">
        <f>SmtRes!AB130*SmtRes!Y130*Source!I82</f>
        <v>373.389935</v>
      </c>
      <c r="K218" s="39">
        <f>SmtRes!AC130*SmtRes!Y130*Source!I82</f>
        <v>0</v>
      </c>
      <c r="L218" s="35"/>
      <c r="M218" s="35"/>
      <c r="N218" s="36"/>
    </row>
    <row r="219" spans="1:14" ht="28.5">
      <c r="A219" s="34"/>
      <c r="B219" s="37" t="str">
        <f>SmtRes!I131</f>
        <v>331451</v>
      </c>
      <c r="C219" s="37" t="s">
        <v>596</v>
      </c>
      <c r="D219" s="35" t="str">
        <f>SmtRes!O131</f>
        <v>маш.-ч</v>
      </c>
      <c r="E219" s="35">
        <f>SmtRes!Y131</f>
        <v>24.25</v>
      </c>
      <c r="F219" s="35">
        <f>SmtRes!Y131*Source!I82</f>
        <v>646.99</v>
      </c>
      <c r="G219" s="38">
        <f>(SmtRes!AA131+SmtRes!AB131+SmtRes!AD131)</f>
        <v>8.79</v>
      </c>
      <c r="H219" s="39">
        <f>(SmtRes!AA131*SmtRes!Y131*Source!I82+SmtRes!AB131*SmtRes!Y131*Source!I82+SmtRes!AD131*SmtRes!Y131*Source!I82)</f>
        <v>5687.042099999999</v>
      </c>
      <c r="I219" s="35"/>
      <c r="J219" s="39">
        <f>SmtRes!AB131*SmtRes!Y131*Source!I82</f>
        <v>5687.042099999999</v>
      </c>
      <c r="K219" s="39">
        <f>SmtRes!AC131*SmtRes!Y131*Source!I82</f>
        <v>0</v>
      </c>
      <c r="L219" s="35"/>
      <c r="M219" s="35"/>
      <c r="N219" s="36"/>
    </row>
    <row r="220" spans="1:14" ht="28.5">
      <c r="A220" s="34"/>
      <c r="B220" s="37" t="str">
        <f>SmtRes!I132</f>
        <v>360202</v>
      </c>
      <c r="C220" s="37" t="s">
        <v>597</v>
      </c>
      <c r="D220" s="35" t="str">
        <f>SmtRes!O132</f>
        <v>маш.-ч.</v>
      </c>
      <c r="E220" s="35">
        <f>SmtRes!Y132</f>
        <v>1.4625</v>
      </c>
      <c r="F220" s="35">
        <f>SmtRes!Y132*Source!I82</f>
        <v>39.0195</v>
      </c>
      <c r="G220" s="38">
        <f>(SmtRes!AA132+SmtRes!AB132+SmtRes!AD132)</f>
        <v>50.42</v>
      </c>
      <c r="H220" s="39">
        <f>(SmtRes!AA132*SmtRes!Y132*Source!I82+SmtRes!AB132*SmtRes!Y132*Source!I82+SmtRes!AD132*SmtRes!Y132*Source!I82)</f>
        <v>1967.36319</v>
      </c>
      <c r="I220" s="35"/>
      <c r="J220" s="39">
        <f>SmtRes!AB132*SmtRes!Y132*Source!I82</f>
        <v>1967.36319</v>
      </c>
      <c r="K220" s="39">
        <f>SmtRes!AC132*SmtRes!Y132*Source!I82</f>
        <v>0</v>
      </c>
      <c r="L220" s="35"/>
      <c r="M220" s="35"/>
      <c r="N220" s="36"/>
    </row>
    <row r="221" spans="1:14" ht="43.5">
      <c r="A221" s="34"/>
      <c r="B221" s="37" t="str">
        <f>SmtRes!I133</f>
        <v>400001</v>
      </c>
      <c r="C221" s="37" t="s">
        <v>568</v>
      </c>
      <c r="D221" s="35" t="str">
        <f>SmtRes!O133</f>
        <v>маш.-ч.</v>
      </c>
      <c r="E221" s="35">
        <f>SmtRes!Y133</f>
        <v>0.05</v>
      </c>
      <c r="F221" s="35">
        <f>SmtRes!Y133*Source!I82</f>
        <v>1.334</v>
      </c>
      <c r="G221" s="38">
        <f>(SmtRes!AA133+SmtRes!AB133+SmtRes!AD133)</f>
        <v>698.33</v>
      </c>
      <c r="H221" s="39">
        <f>(SmtRes!AA133*SmtRes!Y133*Source!I82+SmtRes!AB133*SmtRes!Y133*Source!I82+SmtRes!AD133*SmtRes!Y133*Source!I82)</f>
        <v>931.5722200000001</v>
      </c>
      <c r="I221" s="35"/>
      <c r="J221" s="39">
        <f>SmtRes!AB133*SmtRes!Y133*Source!I82</f>
        <v>931.5722200000001</v>
      </c>
      <c r="K221" s="39">
        <f>SmtRes!AC133*SmtRes!Y133*Source!I82</f>
        <v>0</v>
      </c>
      <c r="L221" s="35"/>
      <c r="M221" s="35"/>
      <c r="N221" s="36"/>
    </row>
    <row r="222" spans="1:14" ht="15">
      <c r="A222" s="34"/>
      <c r="B222" s="37">
        <f>SmtRes!I134</f>
      </c>
      <c r="C222" s="37" t="str">
        <f>SmtRes!K134</f>
        <v>Мембрана ЭПДМ</v>
      </c>
      <c r="D222" s="35" t="str">
        <f>SmtRes!O134</f>
        <v>м2</v>
      </c>
      <c r="E222" s="35">
        <f>SmtRes!Y134</f>
        <v>128</v>
      </c>
      <c r="F222" s="35">
        <f>SmtRes!Y134*Source!I82</f>
        <v>3415.04</v>
      </c>
      <c r="G222" s="38">
        <f>(SmtRes!AA134+SmtRes!AB134+SmtRes!AD134)</f>
        <v>458.14</v>
      </c>
      <c r="H222" s="39">
        <f>(SmtRes!AA134*SmtRes!Y134*Source!I82+SmtRes!AB134*SmtRes!Y134*Source!I82+SmtRes!AD134*SmtRes!Y134*Source!I82)</f>
        <v>1564566.4256</v>
      </c>
      <c r="I222" s="35"/>
      <c r="J222" s="35"/>
      <c r="K222" s="35"/>
      <c r="L222" s="39">
        <f>SmtRes!AA134*SmtRes!Y134*Source!I82</f>
        <v>1564566.4256</v>
      </c>
      <c r="M222" s="35"/>
      <c r="N222" s="36"/>
    </row>
    <row r="223" spans="1:14" ht="15">
      <c r="A223" s="34"/>
      <c r="B223" s="37">
        <f>SmtRes!I135</f>
      </c>
      <c r="C223" s="37" t="str">
        <f>SmtRes!K135</f>
        <v>ЭПДМ формфлэш</v>
      </c>
      <c r="D223" s="35" t="str">
        <f>SmtRes!O135</f>
        <v>м</v>
      </c>
      <c r="E223" s="35">
        <f>SmtRes!Y135</f>
        <v>6.14</v>
      </c>
      <c r="F223" s="35">
        <f>SmtRes!Y135*Source!I82</f>
        <v>163.81519999999998</v>
      </c>
      <c r="G223" s="38">
        <f>(SmtRes!AA135+SmtRes!AB135+SmtRes!AD135)</f>
        <v>666.32</v>
      </c>
      <c r="H223" s="39">
        <f>(SmtRes!AA135*SmtRes!Y135*Source!I82+SmtRes!AB135*SmtRes!Y135*Source!I82+SmtRes!AD135*SmtRes!Y135*Source!I82)</f>
        <v>109153.344064</v>
      </c>
      <c r="I223" s="35"/>
      <c r="J223" s="35"/>
      <c r="K223" s="35"/>
      <c r="L223" s="39">
        <f>SmtRes!AA135*SmtRes!Y135*Source!I82</f>
        <v>109153.344064</v>
      </c>
      <c r="M223" s="35"/>
      <c r="N223" s="36"/>
    </row>
    <row r="224" spans="1:14" ht="15">
      <c r="A224" s="34"/>
      <c r="B224" s="37">
        <f>SmtRes!I136</f>
      </c>
      <c r="C224" s="37" t="str">
        <f>SmtRes!K136</f>
        <v>Полоса из невулканизированной резины</v>
      </c>
      <c r="D224" s="35" t="str">
        <f>SmtRes!O136</f>
        <v>м</v>
      </c>
      <c r="E224" s="35">
        <f>SmtRes!Y136</f>
        <v>134</v>
      </c>
      <c r="F224" s="35">
        <f>SmtRes!Y136*Source!I82</f>
        <v>3575.12</v>
      </c>
      <c r="G224" s="38">
        <f>(SmtRes!AA136+SmtRes!AB136+SmtRes!AD136)</f>
        <v>262.19</v>
      </c>
      <c r="H224" s="39">
        <f>(SmtRes!AA136*SmtRes!Y136*Source!I82+SmtRes!AB136*SmtRes!Y136*Source!I82+SmtRes!AD136*SmtRes!Y136*Source!I82)</f>
        <v>937360.7128</v>
      </c>
      <c r="I224" s="35"/>
      <c r="J224" s="35"/>
      <c r="K224" s="35"/>
      <c r="L224" s="39">
        <f>SmtRes!AA136*SmtRes!Y136*Source!I82</f>
        <v>937360.7128</v>
      </c>
      <c r="M224" s="35"/>
      <c r="N224" s="36"/>
    </row>
    <row r="225" spans="1:14" ht="15">
      <c r="A225" s="34"/>
      <c r="B225" s="37">
        <f>SmtRes!I137</f>
      </c>
      <c r="C225" s="37" t="str">
        <f>SmtRes!K137</f>
        <v>Рейка металлическая</v>
      </c>
      <c r="D225" s="35" t="str">
        <f>SmtRes!O137</f>
        <v>м</v>
      </c>
      <c r="E225" s="35">
        <f>SmtRes!Y137</f>
        <v>67</v>
      </c>
      <c r="F225" s="35">
        <f>SmtRes!Y137*Source!I82</f>
        <v>1787.56</v>
      </c>
      <c r="G225" s="38">
        <f>(SmtRes!AA137+SmtRes!AB137+SmtRes!AD137)</f>
        <v>206.45</v>
      </c>
      <c r="H225" s="39">
        <f>(SmtRes!AA137*SmtRes!Y137*Source!I82+SmtRes!AB137*SmtRes!Y137*Source!I82+SmtRes!AD137*SmtRes!Y137*Source!I82)</f>
        <v>369041.762</v>
      </c>
      <c r="I225" s="35"/>
      <c r="J225" s="35"/>
      <c r="K225" s="35"/>
      <c r="L225" s="39">
        <f>SmtRes!AA137*SmtRes!Y137*Source!I82</f>
        <v>369041.762</v>
      </c>
      <c r="M225" s="35"/>
      <c r="N225" s="36"/>
    </row>
    <row r="226" spans="1:14" ht="15">
      <c r="A226" s="34"/>
      <c r="B226" s="37">
        <f>SmtRes!I138</f>
      </c>
      <c r="C226" s="37" t="str">
        <f>SmtRes!K138</f>
        <v>Дюбель гвоздь потай 8*160</v>
      </c>
      <c r="D226" s="35" t="str">
        <f>SmtRes!O138</f>
        <v>шт.</v>
      </c>
      <c r="E226" s="35">
        <f>SmtRes!Y138</f>
        <v>335.00404203718676</v>
      </c>
      <c r="F226" s="35">
        <f>SmtRes!Y138*Source!I82</f>
        <v>8937.907841552144</v>
      </c>
      <c r="G226" s="38">
        <f>(SmtRes!AA138+SmtRes!AB138+SmtRes!AD138)</f>
        <v>13.39</v>
      </c>
      <c r="H226" s="39">
        <f>(SmtRes!AA138*SmtRes!Y138*Source!I82+SmtRes!AB138*SmtRes!Y138*Source!I82+SmtRes!AD138*SmtRes!Y138*Source!I82)</f>
        <v>119678.58599838319</v>
      </c>
      <c r="I226" s="35"/>
      <c r="J226" s="35"/>
      <c r="K226" s="35"/>
      <c r="L226" s="39">
        <f>SmtRes!AA138*SmtRes!Y138*Source!I82</f>
        <v>119678.58599838319</v>
      </c>
      <c r="M226" s="35"/>
      <c r="N226" s="36"/>
    </row>
    <row r="227" spans="1:14" ht="15">
      <c r="A227" s="34"/>
      <c r="B227" s="37">
        <f>SmtRes!I139</f>
      </c>
      <c r="C227" s="37" t="str">
        <f>SmtRes!K139</f>
        <v>Очиститель</v>
      </c>
      <c r="D227" s="35" t="str">
        <f>SmtRes!O139</f>
        <v>л</v>
      </c>
      <c r="E227" s="35">
        <f>SmtRes!Y139</f>
        <v>0.63</v>
      </c>
      <c r="F227" s="35">
        <f>SmtRes!Y139*Source!I82</f>
        <v>16.8084</v>
      </c>
      <c r="G227" s="38">
        <f>(SmtRes!AA139+SmtRes!AB139+SmtRes!AD139)</f>
        <v>406.5</v>
      </c>
      <c r="H227" s="39">
        <f>(SmtRes!AA139*SmtRes!Y139*Source!I82+SmtRes!AB139*SmtRes!Y139*Source!I82+SmtRes!AD139*SmtRes!Y139*Source!I82)</f>
        <v>6832.614600000001</v>
      </c>
      <c r="I227" s="35"/>
      <c r="J227" s="35"/>
      <c r="K227" s="35"/>
      <c r="L227" s="39">
        <f>SmtRes!AA139*SmtRes!Y139*Source!I82</f>
        <v>6832.614600000001</v>
      </c>
      <c r="M227" s="35"/>
      <c r="N227" s="36"/>
    </row>
    <row r="228" spans="1:14" ht="15">
      <c r="A228" s="34"/>
      <c r="B228" s="37">
        <f>SmtRes!I140</f>
      </c>
      <c r="C228" s="37" t="str">
        <f>SmtRes!K140</f>
        <v>Праймер</v>
      </c>
      <c r="D228" s="35" t="str">
        <f>SmtRes!O140</f>
        <v>л</v>
      </c>
      <c r="E228" s="35">
        <f>SmtRes!Y140</f>
        <v>16.5</v>
      </c>
      <c r="F228" s="35">
        <f>SmtRes!Y140*Source!I82</f>
        <v>440.21999999999997</v>
      </c>
      <c r="G228" s="38">
        <f>(SmtRes!AA140+SmtRes!AB140+SmtRes!AD140)</f>
        <v>605.35</v>
      </c>
      <c r="H228" s="39">
        <f>(SmtRes!AA140*SmtRes!Y140*Source!I82+SmtRes!AB140*SmtRes!Y140*Source!I82+SmtRes!AD140*SmtRes!Y140*Source!I82)</f>
        <v>266487.17699999997</v>
      </c>
      <c r="I228" s="35"/>
      <c r="J228" s="35"/>
      <c r="K228" s="35"/>
      <c r="L228" s="39">
        <f>SmtRes!AA140*SmtRes!Y140*Source!I82</f>
        <v>266487.17699999997</v>
      </c>
      <c r="M228" s="35"/>
      <c r="N228" s="36"/>
    </row>
    <row r="229" spans="1:14" ht="15">
      <c r="A229" s="34"/>
      <c r="B229" s="37">
        <f>SmtRes!I141</f>
      </c>
      <c r="C229" s="37" t="str">
        <f>SmtRes!K141</f>
        <v>Монтажный клей</v>
      </c>
      <c r="D229" s="35" t="str">
        <f>SmtRes!O141</f>
        <v>л</v>
      </c>
      <c r="E229" s="35">
        <f>SmtRes!Y141</f>
        <v>151.2</v>
      </c>
      <c r="F229" s="35">
        <f>SmtRes!Y141*Source!I82</f>
        <v>4034.0159999999996</v>
      </c>
      <c r="G229" s="38">
        <f>(SmtRes!AA141+SmtRes!AB141+SmtRes!AD141)</f>
        <v>516.94</v>
      </c>
      <c r="H229" s="39">
        <f>(SmtRes!AA141*SmtRes!Y141*Source!I82+SmtRes!AB141*SmtRes!Y141*Source!I82+SmtRes!AD141*SmtRes!Y141*Source!I82)</f>
        <v>2085344.2310400002</v>
      </c>
      <c r="I229" s="35"/>
      <c r="J229" s="35"/>
      <c r="K229" s="35"/>
      <c r="L229" s="39">
        <f>SmtRes!AA141*SmtRes!Y141*Source!I82</f>
        <v>2085344.2310400002</v>
      </c>
      <c r="M229" s="35"/>
      <c r="N229" s="36"/>
    </row>
    <row r="230" spans="1:14" ht="15">
      <c r="A230" s="34"/>
      <c r="B230" s="37">
        <f>SmtRes!I142</f>
      </c>
      <c r="C230" s="37" t="str">
        <f>SmtRes!K142</f>
        <v>Краевая полоса</v>
      </c>
      <c r="D230" s="35" t="str">
        <f>SmtRes!O142</f>
        <v>м</v>
      </c>
      <c r="E230" s="35">
        <f>SmtRes!Y142</f>
        <v>56.29210455402856</v>
      </c>
      <c r="F230" s="35">
        <f>SmtRes!Y142*Source!I82</f>
        <v>1501.873349501482</v>
      </c>
      <c r="G230" s="38">
        <f>(SmtRes!AA142+SmtRes!AB142+SmtRes!AD142)</f>
        <v>166.4</v>
      </c>
      <c r="H230" s="39">
        <f>(SmtRes!AA142*SmtRes!Y142*Source!I82+SmtRes!AB142*SmtRes!Y142*Source!I82+SmtRes!AD142*SmtRes!Y142*Source!I82)</f>
        <v>249911.7253570466</v>
      </c>
      <c r="I230" s="35"/>
      <c r="J230" s="35"/>
      <c r="K230" s="35"/>
      <c r="L230" s="39">
        <f>SmtRes!AA142*SmtRes!Y142*Source!I82</f>
        <v>249911.7253570466</v>
      </c>
      <c r="M230" s="35"/>
      <c r="N230" s="36"/>
    </row>
    <row r="231" spans="1:14" ht="15">
      <c r="A231" s="34"/>
      <c r="B231" s="37">
        <f>SmtRes!I143</f>
      </c>
      <c r="C231" s="37" t="str">
        <f>SmtRes!K143</f>
        <v>Шуруп кровельный 4,8*29</v>
      </c>
      <c r="D231" s="35" t="str">
        <f>SmtRes!O143</f>
        <v>шт.</v>
      </c>
      <c r="E231" s="35">
        <f>SmtRes!Y143</f>
        <v>200</v>
      </c>
      <c r="F231" s="35">
        <f>SmtRes!Y143*Source!I82</f>
        <v>5336</v>
      </c>
      <c r="G231" s="38">
        <f>(SmtRes!AA143+SmtRes!AB143+SmtRes!AD143)</f>
        <v>1.78</v>
      </c>
      <c r="H231" s="39">
        <f>(SmtRes!AA143*SmtRes!Y143*Source!I82+SmtRes!AB143*SmtRes!Y143*Source!I82+SmtRes!AD143*SmtRes!Y143*Source!I82)</f>
        <v>9498.08</v>
      </c>
      <c r="I231" s="35"/>
      <c r="J231" s="35"/>
      <c r="K231" s="35"/>
      <c r="L231" s="39">
        <f>SmtRes!AA143*SmtRes!Y143*Source!I82</f>
        <v>9498.08</v>
      </c>
      <c r="M231" s="35"/>
      <c r="N231" s="36"/>
    </row>
    <row r="232" spans="1:14" ht="15">
      <c r="A232" s="34"/>
      <c r="B232" s="37">
        <f>SmtRes!I144</f>
      </c>
      <c r="C232" s="37" t="str">
        <f>SmtRes!K144</f>
        <v>Краевой герметик</v>
      </c>
      <c r="D232" s="35" t="str">
        <f>SmtRes!O144</f>
        <v>шт.</v>
      </c>
      <c r="E232" s="35">
        <f>SmtRes!Y144</f>
        <v>12</v>
      </c>
      <c r="F232" s="35">
        <f>SmtRes!Y144*Source!I82</f>
        <v>320.15999999999997</v>
      </c>
      <c r="G232" s="38">
        <f>(SmtRes!AA144+SmtRes!AB144+SmtRes!AD144)</f>
        <v>621.34</v>
      </c>
      <c r="H232" s="39">
        <f>(SmtRes!AA144*SmtRes!Y144*Source!I82+SmtRes!AB144*SmtRes!Y144*Source!I82+SmtRes!AD144*SmtRes!Y144*Source!I82)</f>
        <v>198928.2144</v>
      </c>
      <c r="I232" s="35"/>
      <c r="J232" s="35"/>
      <c r="K232" s="35"/>
      <c r="L232" s="39">
        <f>SmtRes!AA144*SmtRes!Y144*Source!I82</f>
        <v>198928.2144</v>
      </c>
      <c r="M232" s="35"/>
      <c r="N232" s="36"/>
    </row>
    <row r="233" spans="1:14" ht="15">
      <c r="A233" s="40"/>
      <c r="B233" s="41">
        <f>SmtRes!I145</f>
      </c>
      <c r="C233" s="41" t="str">
        <f>SmtRes!K145</f>
        <v>Ветошь</v>
      </c>
      <c r="D233" s="42">
        <f>SmtRes!O145</f>
        <v>0</v>
      </c>
      <c r="E233" s="42">
        <f>SmtRes!Y145</f>
        <v>3.5004042037186744</v>
      </c>
      <c r="F233" s="42">
        <f>SmtRes!Y145*Source!I82</f>
        <v>93.39078415521423</v>
      </c>
      <c r="G233" s="43">
        <f>(SmtRes!AA145+SmtRes!AB145+SmtRes!AD145)</f>
        <v>52.32</v>
      </c>
      <c r="H233" s="44">
        <f>(SmtRes!AA145*SmtRes!Y145*Source!I82+SmtRes!AB145*SmtRes!Y145*Source!I82+SmtRes!AD145*SmtRes!Y145*Source!I82)</f>
        <v>4886.205827000809</v>
      </c>
      <c r="I233" s="42"/>
      <c r="J233" s="42"/>
      <c r="K233" s="42"/>
      <c r="L233" s="44">
        <f>SmtRes!AA145*SmtRes!Y145*Source!I82</f>
        <v>4886.205827000809</v>
      </c>
      <c r="M233" s="42"/>
      <c r="N233" s="45"/>
    </row>
    <row r="234" spans="1:26" ht="69.75">
      <c r="A234" s="16" t="str">
        <f>IF(Source!E83&lt;&gt;"",Source!E83,"")</f>
        <v>6</v>
      </c>
      <c r="B234" s="16" t="str">
        <f>IF(Source!F83&lt;&gt;"",Source!F83,"")</f>
        <v>58-19-3</v>
      </c>
      <c r="C234" s="16" t="s">
        <v>598</v>
      </c>
      <c r="D234" s="17" t="str">
        <f>IF(Source!H83&lt;&gt;"",Source!H83,"")</f>
        <v>100 м покрытия</v>
      </c>
      <c r="E234" s="17" t="str">
        <f>IF(Source!J83=0," ",Source!J83)</f>
        <v> </v>
      </c>
      <c r="F234" s="18">
        <f>Source!I83</f>
        <v>3.36</v>
      </c>
      <c r="G234" s="19">
        <f>IF(Source!AB83=0," ",Source!AB83)</f>
        <v>27361.45</v>
      </c>
      <c r="H234" s="20">
        <f>IF(Source!O83=0," ",Source!O83)</f>
        <v>91935</v>
      </c>
      <c r="I234" s="20">
        <f>IF(Source!S83=0," ",Source!S83)</f>
        <v>40925</v>
      </c>
      <c r="J234" s="20">
        <f>IF(Source!Q83=0," ",Source!Q83)</f>
        <v>218</v>
      </c>
      <c r="K234" s="20" t="str">
        <f>IF(Source!R83=0," ",Source!R83)</f>
        <v> </v>
      </c>
      <c r="L234" s="20">
        <f>IF(Source!P83=0," ",Source!P83)</f>
        <v>50792</v>
      </c>
      <c r="M234" s="21">
        <f>IF(Source!U83=0," ",ROUND(Source!U83,6))</f>
        <v>340.1664</v>
      </c>
      <c r="N234" s="21">
        <f>IF(Source!V83=0," ",ROUND(Source!V83,6))</f>
        <v>0.84</v>
      </c>
      <c r="T234">
        <f>IF(Source!O83=0," ",Source!O83)</f>
        <v>91935</v>
      </c>
      <c r="U234">
        <v>50792</v>
      </c>
      <c r="V234">
        <f>IF(Source!S83=0," ",Source!S83)</f>
        <v>40925</v>
      </c>
      <c r="W234">
        <f>IF(Source!Q83=0," ",Source!Q83)</f>
        <v>218</v>
      </c>
      <c r="X234" t="str">
        <f>IF(Source!R83=0," ",Source!R83)</f>
        <v> </v>
      </c>
      <c r="Y234">
        <f>IF(Source!U83=0," ",ROUND(Source!U83,6))</f>
        <v>340.1664</v>
      </c>
      <c r="Z234">
        <f>IF(Source!V83=0," ",ROUND(Source!V83,6))</f>
        <v>0.84</v>
      </c>
    </row>
    <row r="235" spans="1:14" ht="15">
      <c r="A235" s="57"/>
      <c r="B235" s="57"/>
      <c r="C235" s="22" t="s">
        <v>154</v>
      </c>
      <c r="D235" s="23" t="str">
        <f>CONCATENATE(Source!AT83," %")</f>
        <v>83 %</v>
      </c>
      <c r="E235" s="23"/>
      <c r="F235" s="23"/>
      <c r="G235" s="23"/>
      <c r="H235" s="24">
        <f>Source!X83</f>
        <v>33968</v>
      </c>
      <c r="I235" s="57"/>
      <c r="J235" s="57"/>
      <c r="K235" s="57"/>
      <c r="L235" s="57"/>
      <c r="M235" s="57"/>
      <c r="N235" s="57"/>
    </row>
    <row r="236" spans="1:14" ht="15">
      <c r="A236" s="57"/>
      <c r="B236" s="57"/>
      <c r="C236" s="22" t="s">
        <v>156</v>
      </c>
      <c r="D236" s="23" t="str">
        <f>CONCATENATE(Source!AU83," %")</f>
        <v>65 %</v>
      </c>
      <c r="E236" s="23"/>
      <c r="F236" s="23"/>
      <c r="G236" s="23"/>
      <c r="H236" s="24">
        <f>Source!Y83</f>
        <v>26601</v>
      </c>
      <c r="I236" s="57"/>
      <c r="J236" s="57"/>
      <c r="K236" s="57"/>
      <c r="L236" s="57"/>
      <c r="M236" s="57"/>
      <c r="N236" s="57"/>
    </row>
    <row r="237" spans="1:14" ht="14.25">
      <c r="A237" s="58"/>
      <c r="B237" s="58"/>
      <c r="C237" s="25" t="s">
        <v>551</v>
      </c>
      <c r="D237" s="26"/>
      <c r="E237" s="26"/>
      <c r="F237" s="26"/>
      <c r="G237" s="26"/>
      <c r="H237" s="27">
        <f>SUMIF(Source!AA83:Source!AA83,"=27243028",Source!GM83:Source!GM83)</f>
        <v>152504</v>
      </c>
      <c r="I237" s="58"/>
      <c r="J237" s="58"/>
      <c r="K237" s="58"/>
      <c r="L237" s="58"/>
      <c r="M237" s="58"/>
      <c r="N237" s="58"/>
    </row>
    <row r="238" spans="1:14" ht="30">
      <c r="A238" s="28"/>
      <c r="B238" s="31" t="str">
        <f>SmtRes!I146</f>
        <v>1-1025-12</v>
      </c>
      <c r="C238" s="31" t="str">
        <f>SmtRes!K146</f>
        <v>Рабочий строитель среднего разряда 2,5</v>
      </c>
      <c r="D238" s="29" t="str">
        <f>SmtRes!O146</f>
        <v>чел.-ч</v>
      </c>
      <c r="E238" s="29">
        <f>SmtRes!Y146</f>
        <v>101.24</v>
      </c>
      <c r="F238" s="29">
        <f>SmtRes!Y146*Source!I83</f>
        <v>340.16639999999995</v>
      </c>
      <c r="G238" s="32">
        <f>(SmtRes!AA146+SmtRes!AB146+SmtRes!AD146)</f>
        <v>120.31</v>
      </c>
      <c r="H238" s="33">
        <f>(SmtRes!AA146*SmtRes!Y146*Source!I83+SmtRes!AB146*SmtRes!Y146*Source!I83+SmtRes!AD146*SmtRes!Y146*Source!I83)</f>
        <v>40925.419583999996</v>
      </c>
      <c r="I238" s="33">
        <f>SmtRes!AD146*SmtRes!Y146*Source!I83</f>
        <v>40925.419583999996</v>
      </c>
      <c r="J238" s="29"/>
      <c r="K238" s="29"/>
      <c r="L238" s="29"/>
      <c r="M238" s="29"/>
      <c r="N238" s="30"/>
    </row>
    <row r="239" spans="1:14" ht="15">
      <c r="A239" s="34"/>
      <c r="B239" s="37" t="str">
        <f>SmtRes!I147</f>
        <v>2</v>
      </c>
      <c r="C239" s="37" t="str">
        <f>SmtRes!K147</f>
        <v>Затраты труда машинистов</v>
      </c>
      <c r="D239" s="35" t="str">
        <f>SmtRes!O147</f>
        <v>чел.час</v>
      </c>
      <c r="E239" s="35">
        <f>SmtRes!Y147</f>
        <v>0.25</v>
      </c>
      <c r="F239" s="35">
        <f>SmtRes!Y147*Source!I83</f>
        <v>0.84</v>
      </c>
      <c r="G239" s="38">
        <f>(SmtRes!AA147+SmtRes!AB147+SmtRes!AD147)</f>
        <v>0</v>
      </c>
      <c r="H239" s="39">
        <f>(SmtRes!AA147*SmtRes!Y147*Source!I83+SmtRes!AB147*SmtRes!Y147*Source!I83+SmtRes!AD147*SmtRes!Y147*Source!I83)</f>
        <v>0</v>
      </c>
      <c r="I239" s="35"/>
      <c r="J239" s="35"/>
      <c r="K239" s="39">
        <f>SmtRes!AC147*SmtRes!Y147*Source!I83</f>
        <v>0</v>
      </c>
      <c r="L239" s="35"/>
      <c r="M239" s="35"/>
      <c r="N239" s="36"/>
    </row>
    <row r="240" spans="1:14" ht="45">
      <c r="A240" s="34"/>
      <c r="B240" s="37" t="str">
        <f>SmtRes!I148</f>
        <v>030954</v>
      </c>
      <c r="C240" s="37" t="str">
        <f>SmtRes!K148</f>
        <v>Подъемники грузоподъемностью до 500 кг одномачтовые, высота подъема 45 м</v>
      </c>
      <c r="D240" s="35" t="str">
        <f>SmtRes!O148</f>
        <v>маш.-ч</v>
      </c>
      <c r="E240" s="35">
        <f>SmtRes!Y148</f>
        <v>0.25</v>
      </c>
      <c r="F240" s="35">
        <f>SmtRes!Y148*Source!I83</f>
        <v>0.84</v>
      </c>
      <c r="G240" s="38">
        <f>(SmtRes!AA148+SmtRes!AB148+SmtRes!AD148)</f>
        <v>258.94</v>
      </c>
      <c r="H240" s="39">
        <f>(SmtRes!AA148*SmtRes!Y148*Source!I83+SmtRes!AB148*SmtRes!Y148*Source!I83+SmtRes!AD148*SmtRes!Y148*Source!I83)</f>
        <v>217.50959999999998</v>
      </c>
      <c r="I240" s="35"/>
      <c r="J240" s="39">
        <f>SmtRes!AB148*SmtRes!Y148*Source!I83</f>
        <v>217.50959999999998</v>
      </c>
      <c r="K240" s="39">
        <f>SmtRes!AC148*SmtRes!Y148*Source!I83</f>
        <v>0</v>
      </c>
      <c r="L240" s="35"/>
      <c r="M240" s="35"/>
      <c r="N240" s="36"/>
    </row>
    <row r="241" spans="1:14" ht="15">
      <c r="A241" s="34"/>
      <c r="B241" s="37" t="str">
        <f>SmtRes!I149</f>
        <v>101-0782</v>
      </c>
      <c r="C241" s="37" t="str">
        <f>SmtRes!K149</f>
        <v>Анкер-клин</v>
      </c>
      <c r="D241" s="35" t="str">
        <f>SmtRes!O149</f>
        <v>шт.</v>
      </c>
      <c r="E241" s="35">
        <f>SmtRes!Y149</f>
        <v>300</v>
      </c>
      <c r="F241" s="35">
        <f>SmtRes!Y149*Source!I83</f>
        <v>1008</v>
      </c>
      <c r="G241" s="38">
        <f>(SmtRes!AA149+SmtRes!AB149+SmtRes!AD149)</f>
        <v>3.88</v>
      </c>
      <c r="H241" s="39">
        <f>(SmtRes!AA149*SmtRes!Y149*Source!I83+SmtRes!AB149*SmtRes!Y149*Source!I83+SmtRes!AD149*SmtRes!Y149*Source!I83)</f>
        <v>3911.04</v>
      </c>
      <c r="I241" s="35"/>
      <c r="J241" s="35"/>
      <c r="K241" s="35"/>
      <c r="L241" s="39">
        <f>SmtRes!AA149*SmtRes!Y149*Source!I83</f>
        <v>3911.04</v>
      </c>
      <c r="M241" s="35"/>
      <c r="N241" s="36"/>
    </row>
    <row r="242" spans="1:14" ht="15">
      <c r="A242" s="34"/>
      <c r="B242" s="37" t="str">
        <f>SmtRes!I150</f>
        <v>101-1875</v>
      </c>
      <c r="C242" s="37" t="str">
        <f>SmtRes!K150</f>
        <v>Сталь листовая оцинкованная</v>
      </c>
      <c r="D242" s="35" t="str">
        <f>SmtRes!O150</f>
        <v>т</v>
      </c>
      <c r="E242" s="35">
        <f>SmtRes!Y150</f>
        <v>0.294</v>
      </c>
      <c r="F242" s="35">
        <f>SmtRes!Y150*Source!I83</f>
        <v>0.9878399999999999</v>
      </c>
      <c r="G242" s="38">
        <f>(SmtRes!AA150+SmtRes!AB150+SmtRes!AD150)</f>
        <v>47457.6</v>
      </c>
      <c r="H242" s="39">
        <f>(SmtRes!AA150*SmtRes!Y150*Source!I83+SmtRes!AB150*SmtRes!Y150*Source!I83+SmtRes!AD150*SmtRes!Y150*Source!I83)</f>
        <v>46880.51558399999</v>
      </c>
      <c r="I242" s="35"/>
      <c r="J242" s="35"/>
      <c r="K242" s="35"/>
      <c r="L242" s="39">
        <f>SmtRes!AA150*SmtRes!Y150*Source!I83</f>
        <v>46880.51558399999</v>
      </c>
      <c r="M242" s="35"/>
      <c r="N242" s="36"/>
    </row>
    <row r="243" spans="1:14" ht="15">
      <c r="A243" s="40"/>
      <c r="B243" s="41" t="str">
        <f>SmtRes!I151</f>
        <v>509-9900</v>
      </c>
      <c r="C243" s="41" t="str">
        <f>SmtRes!K151</f>
        <v>Строительный мусор</v>
      </c>
      <c r="D243" s="42" t="str">
        <f>SmtRes!O151</f>
        <v>т</v>
      </c>
      <c r="E243" s="42">
        <f>SmtRes!Y151</f>
        <v>0.594</v>
      </c>
      <c r="F243" s="42">
        <f>SmtRes!Y151*Source!I83</f>
        <v>1.9958399999999998</v>
      </c>
      <c r="G243" s="43">
        <f>(SmtRes!AA151+SmtRes!AB151+SmtRes!AD151)</f>
        <v>0</v>
      </c>
      <c r="H243" s="44">
        <f>(SmtRes!AA151*SmtRes!Y151*Source!I83+SmtRes!AB151*SmtRes!Y151*Source!I83+SmtRes!AD151*SmtRes!Y151*Source!I83)</f>
        <v>0</v>
      </c>
      <c r="I243" s="42"/>
      <c r="J243" s="42"/>
      <c r="K243" s="42"/>
      <c r="L243" s="44">
        <f>SmtRes!AA151*SmtRes!Y151*Source!I83</f>
        <v>0</v>
      </c>
      <c r="M243" s="42"/>
      <c r="N243" s="45"/>
    </row>
    <row r="244" spans="1:26" ht="41.25">
      <c r="A244" s="16" t="str">
        <f>IF(Source!E84&lt;&gt;"",Source!E84,"")</f>
        <v>7</v>
      </c>
      <c r="B244" s="16" t="str">
        <f>IF(Source!F84&lt;&gt;"",Source!F84,"")</f>
        <v>53-16-1</v>
      </c>
      <c r="C244" s="16" t="s">
        <v>606</v>
      </c>
      <c r="D244" s="17" t="str">
        <f>IF(Source!H84&lt;&gt;"",Source!H84,"")</f>
        <v>1 м3 кладки</v>
      </c>
      <c r="E244" s="17" t="str">
        <f>IF(Source!J84=0," ",Source!J84)</f>
        <v> </v>
      </c>
      <c r="F244" s="18">
        <f>Source!I84</f>
        <v>0.5</v>
      </c>
      <c r="G244" s="19">
        <f>IF(Source!AB84=0," ",Source!AB84)</f>
        <v>9492.25</v>
      </c>
      <c r="H244" s="20">
        <f>IF(Source!O84=0," ",Source!O84)</f>
        <v>4745</v>
      </c>
      <c r="I244" s="20">
        <f>IF(Source!S84=0," ",Source!S84)</f>
        <v>2093</v>
      </c>
      <c r="J244" s="20">
        <f>IF(Source!Q84=0," ",Source!Q84)</f>
        <v>93</v>
      </c>
      <c r="K244" s="20" t="str">
        <f>IF(Source!R84=0," ",Source!R84)</f>
        <v> </v>
      </c>
      <c r="L244" s="20">
        <f>IF(Source!P84=0," ",Source!P84)</f>
        <v>2559</v>
      </c>
      <c r="M244" s="21">
        <f>IF(Source!U84=0," ",ROUND(Source!U84,6))</f>
        <v>17.695</v>
      </c>
      <c r="N244" s="21">
        <f>IF(Source!V84=0," ",ROUND(Source!V84,6))</f>
        <v>0.215</v>
      </c>
      <c r="T244">
        <f>IF(Source!O84=0," ",Source!O84)</f>
        <v>4745</v>
      </c>
      <c r="U244">
        <v>2559</v>
      </c>
      <c r="V244">
        <f>IF(Source!S84=0," ",Source!S84)</f>
        <v>2093</v>
      </c>
      <c r="W244">
        <f>IF(Source!Q84=0," ",Source!Q84)</f>
        <v>93</v>
      </c>
      <c r="X244" t="str">
        <f>IF(Source!R84=0," ",Source!R84)</f>
        <v> </v>
      </c>
      <c r="Y244">
        <f>IF(Source!U84=0," ",ROUND(Source!U84,6))</f>
        <v>17.695</v>
      </c>
      <c r="Z244">
        <f>IF(Source!V84=0," ",ROUND(Source!V84,6))</f>
        <v>0.215</v>
      </c>
    </row>
    <row r="245" spans="1:14" ht="15">
      <c r="A245" s="57"/>
      <c r="B245" s="57"/>
      <c r="C245" s="22" t="s">
        <v>154</v>
      </c>
      <c r="D245" s="23" t="str">
        <f>CONCATENATE(Source!AT84," %")</f>
        <v>86 %</v>
      </c>
      <c r="E245" s="23"/>
      <c r="F245" s="23"/>
      <c r="G245" s="23"/>
      <c r="H245" s="24">
        <f>Source!X84</f>
        <v>1800</v>
      </c>
      <c r="I245" s="57"/>
      <c r="J245" s="57"/>
      <c r="K245" s="57"/>
      <c r="L245" s="57"/>
      <c r="M245" s="57"/>
      <c r="N245" s="57"/>
    </row>
    <row r="246" spans="1:14" ht="15">
      <c r="A246" s="57"/>
      <c r="B246" s="57"/>
      <c r="C246" s="22" t="s">
        <v>156</v>
      </c>
      <c r="D246" s="23" t="str">
        <f>CONCATENATE(Source!AU84," %")</f>
        <v>70 %</v>
      </c>
      <c r="E246" s="23"/>
      <c r="F246" s="23"/>
      <c r="G246" s="23"/>
      <c r="H246" s="24">
        <f>Source!Y84</f>
        <v>1465</v>
      </c>
      <c r="I246" s="57"/>
      <c r="J246" s="57"/>
      <c r="K246" s="57"/>
      <c r="L246" s="57"/>
      <c r="M246" s="57"/>
      <c r="N246" s="57"/>
    </row>
    <row r="247" spans="1:14" ht="14.25">
      <c r="A247" s="58"/>
      <c r="B247" s="58"/>
      <c r="C247" s="25" t="s">
        <v>551</v>
      </c>
      <c r="D247" s="26"/>
      <c r="E247" s="26"/>
      <c r="F247" s="26"/>
      <c r="G247" s="26"/>
      <c r="H247" s="27">
        <f>SUMIF(Source!AA84:Source!AA84,"=27243028",Source!GM84:Source!GM84)</f>
        <v>8010</v>
      </c>
      <c r="I247" s="58"/>
      <c r="J247" s="58"/>
      <c r="K247" s="58"/>
      <c r="L247" s="58"/>
      <c r="M247" s="58"/>
      <c r="N247" s="58"/>
    </row>
    <row r="248" spans="1:14" ht="30">
      <c r="A248" s="28"/>
      <c r="B248" s="31" t="str">
        <f>SmtRes!I152</f>
        <v>1-1023</v>
      </c>
      <c r="C248" s="31" t="str">
        <f>SmtRes!K152</f>
        <v>Рабочий строитель среднего разряда 2,3</v>
      </c>
      <c r="D248" s="29" t="str">
        <f>SmtRes!O152</f>
        <v>чел.-ч</v>
      </c>
      <c r="E248" s="29">
        <f>SmtRes!Y152</f>
        <v>35.39</v>
      </c>
      <c r="F248" s="29">
        <f>SmtRes!Y152*Source!I84</f>
        <v>17.695</v>
      </c>
      <c r="G248" s="32">
        <f>(SmtRes!AA152+SmtRes!AB152+SmtRes!AD152)</f>
        <v>118.3</v>
      </c>
      <c r="H248" s="33">
        <f>(SmtRes!AA152*SmtRes!Y152*Source!I84+SmtRes!AB152*SmtRes!Y152*Source!I84+SmtRes!AD152*SmtRes!Y152*Source!I84)</f>
        <v>2093.3185</v>
      </c>
      <c r="I248" s="33">
        <f>SmtRes!AD152*SmtRes!Y152*Source!I84</f>
        <v>2093.3185</v>
      </c>
      <c r="J248" s="29"/>
      <c r="K248" s="29"/>
      <c r="L248" s="29"/>
      <c r="M248" s="29"/>
      <c r="N248" s="30"/>
    </row>
    <row r="249" spans="1:14" ht="15">
      <c r="A249" s="34"/>
      <c r="B249" s="37" t="str">
        <f>SmtRes!I153</f>
        <v>2</v>
      </c>
      <c r="C249" s="37" t="str">
        <f>SmtRes!K153</f>
        <v>Затраты труда машинистов</v>
      </c>
      <c r="D249" s="35" t="str">
        <f>SmtRes!O153</f>
        <v>чел.час</v>
      </c>
      <c r="E249" s="35">
        <f>SmtRes!Y153</f>
        <v>0.43</v>
      </c>
      <c r="F249" s="35">
        <f>SmtRes!Y153*Source!I84</f>
        <v>0.215</v>
      </c>
      <c r="G249" s="38">
        <f>(SmtRes!AA153+SmtRes!AB153+SmtRes!AD153)</f>
        <v>0</v>
      </c>
      <c r="H249" s="39">
        <f>(SmtRes!AA153*SmtRes!Y153*Source!I84+SmtRes!AB153*SmtRes!Y153*Source!I84+SmtRes!AD153*SmtRes!Y153*Source!I84)</f>
        <v>0</v>
      </c>
      <c r="I249" s="35"/>
      <c r="J249" s="35"/>
      <c r="K249" s="39">
        <f>SmtRes!AC153*SmtRes!Y153*Source!I84</f>
        <v>0</v>
      </c>
      <c r="L249" s="35"/>
      <c r="M249" s="35"/>
      <c r="N249" s="36"/>
    </row>
    <row r="250" spans="1:14" ht="45">
      <c r="A250" s="34"/>
      <c r="B250" s="37" t="str">
        <f>SmtRes!I154</f>
        <v>021141</v>
      </c>
      <c r="C250" s="37" t="str">
        <f>SmtRes!K154</f>
        <v>Краны на автомобильном ходу при работе на других видах строительства 10 т</v>
      </c>
      <c r="D250" s="35" t="str">
        <f>SmtRes!O154</f>
        <v>маш.-ч</v>
      </c>
      <c r="E250" s="35">
        <f>SmtRes!Y154</f>
        <v>0.2</v>
      </c>
      <c r="F250" s="35">
        <f>SmtRes!Y154*Source!I84</f>
        <v>0.1</v>
      </c>
      <c r="G250" s="38">
        <f>(SmtRes!AA154+SmtRes!AB154+SmtRes!AD154)</f>
        <v>636.03</v>
      </c>
      <c r="H250" s="39">
        <f>(SmtRes!AA154*SmtRes!Y154*Source!I84+SmtRes!AB154*SmtRes!Y154*Source!I84+SmtRes!AD154*SmtRes!Y154*Source!I84)</f>
        <v>63.603</v>
      </c>
      <c r="I250" s="35"/>
      <c r="J250" s="39">
        <f>SmtRes!AB154*SmtRes!Y154*Source!I84</f>
        <v>63.603</v>
      </c>
      <c r="K250" s="39">
        <f>SmtRes!AC154*SmtRes!Y154*Source!I84</f>
        <v>0</v>
      </c>
      <c r="L250" s="35"/>
      <c r="M250" s="35"/>
      <c r="N250" s="36"/>
    </row>
    <row r="251" spans="1:14" ht="45">
      <c r="A251" s="34"/>
      <c r="B251" s="37" t="str">
        <f>SmtRes!I155</f>
        <v>030954</v>
      </c>
      <c r="C251" s="37" t="str">
        <f>SmtRes!K155</f>
        <v>Подъемники грузоподъемностью до 500 кг одномачтовые, высота подъема 45 м</v>
      </c>
      <c r="D251" s="35" t="str">
        <f>SmtRes!O155</f>
        <v>маш.-ч</v>
      </c>
      <c r="E251" s="35">
        <f>SmtRes!Y155</f>
        <v>0.23</v>
      </c>
      <c r="F251" s="35">
        <f>SmtRes!Y155*Source!I84</f>
        <v>0.115</v>
      </c>
      <c r="G251" s="38">
        <f>(SmtRes!AA155+SmtRes!AB155+SmtRes!AD155)</f>
        <v>258.94</v>
      </c>
      <c r="H251" s="39">
        <f>(SmtRes!AA155*SmtRes!Y155*Source!I84+SmtRes!AB155*SmtRes!Y155*Source!I84+SmtRes!AD155*SmtRes!Y155*Source!I84)</f>
        <v>29.778100000000002</v>
      </c>
      <c r="I251" s="35"/>
      <c r="J251" s="39">
        <f>SmtRes!AB155*SmtRes!Y155*Source!I84</f>
        <v>29.778100000000002</v>
      </c>
      <c r="K251" s="39">
        <f>SmtRes!AC155*SmtRes!Y155*Source!I84</f>
        <v>0</v>
      </c>
      <c r="L251" s="35"/>
      <c r="M251" s="35"/>
      <c r="N251" s="36"/>
    </row>
    <row r="252" spans="1:14" ht="30">
      <c r="A252" s="34"/>
      <c r="B252" s="37" t="str">
        <f>SmtRes!I156</f>
        <v>402-0013</v>
      </c>
      <c r="C252" s="37" t="str">
        <f>SmtRes!K156</f>
        <v>Раствор готовый кладочный цементно-известковый марки 50</v>
      </c>
      <c r="D252" s="35" t="str">
        <f>SmtRes!O156</f>
        <v>м3</v>
      </c>
      <c r="E252" s="35">
        <f>SmtRes!Y156</f>
        <v>0.253</v>
      </c>
      <c r="F252" s="35">
        <f>SmtRes!Y156*Source!I84</f>
        <v>0.1265</v>
      </c>
      <c r="G252" s="38">
        <f>(SmtRes!AA156+SmtRes!AB156+SmtRes!AD156)</f>
        <v>3305.08</v>
      </c>
      <c r="H252" s="39">
        <f>(SmtRes!AA156*SmtRes!Y156*Source!I84+SmtRes!AB156*SmtRes!Y156*Source!I84+SmtRes!AD156*SmtRes!Y156*Source!I84)</f>
        <v>418.09262</v>
      </c>
      <c r="I252" s="35"/>
      <c r="J252" s="35"/>
      <c r="K252" s="35"/>
      <c r="L252" s="39">
        <f>SmtRes!AA156*SmtRes!Y156*Source!I84</f>
        <v>418.09262</v>
      </c>
      <c r="M252" s="35"/>
      <c r="N252" s="36"/>
    </row>
    <row r="253" spans="1:14" ht="30">
      <c r="A253" s="40"/>
      <c r="B253" s="41" t="str">
        <f>SmtRes!I157</f>
        <v>404-0005</v>
      </c>
      <c r="C253" s="41" t="str">
        <f>SmtRes!K157</f>
        <v>Кирпич керамический одинарный, размером 250х120х65 мм, марка 100</v>
      </c>
      <c r="D253" s="42" t="str">
        <f>SmtRes!O157</f>
        <v>1000 шт.</v>
      </c>
      <c r="E253" s="42">
        <f>SmtRes!Y157</f>
        <v>0.402</v>
      </c>
      <c r="F253" s="42">
        <f>SmtRes!Y157*Source!I84</f>
        <v>0.201</v>
      </c>
      <c r="G253" s="43">
        <f>(SmtRes!AA157+SmtRes!AB157+SmtRes!AD157)</f>
        <v>10653.39</v>
      </c>
      <c r="H253" s="44">
        <f>(SmtRes!AA157*SmtRes!Y157*Source!I84+SmtRes!AB157*SmtRes!Y157*Source!I84+SmtRes!AD157*SmtRes!Y157*Source!I84)</f>
        <v>2141.33139</v>
      </c>
      <c r="I253" s="42"/>
      <c r="J253" s="42"/>
      <c r="K253" s="42"/>
      <c r="L253" s="44">
        <f>SmtRes!AA157*SmtRes!Y157*Source!I84</f>
        <v>2141.33139</v>
      </c>
      <c r="M253" s="42"/>
      <c r="N253" s="45"/>
    </row>
    <row r="254" spans="1:26" ht="71.25">
      <c r="A254" s="16" t="str">
        <f>IF(Source!E85&lt;&gt;"",Source!E85,"")</f>
        <v>8</v>
      </c>
      <c r="B254" s="16" t="str">
        <f>IF(Source!F85&lt;&gt;"",Source!F85,"")</f>
        <v>ФСЦП 310-3021-1</v>
      </c>
      <c r="C254" s="16" t="str">
        <f>IF(Source!G85&lt;&gt;"",Source!G85,"")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D254" s="17" t="str">
        <f>IF(Source!H85&lt;&gt;"",Source!H85,"")</f>
        <v>т</v>
      </c>
      <c r="E254" s="17" t="str">
        <f>IF(Source!J85=0," ",Source!J85)</f>
        <v> </v>
      </c>
      <c r="F254" s="18">
        <f>Source!I85</f>
        <v>1</v>
      </c>
      <c r="G254" s="19">
        <f>IF(Source!AB85=0," ",Source!AB85)</f>
        <v>178.15</v>
      </c>
      <c r="H254" s="20">
        <f>IF(Source!O85=0," ",Source!O85)</f>
        <v>178</v>
      </c>
      <c r="I254" s="20" t="str">
        <f>IF(Source!S85=0," ",Source!S85)</f>
        <v> </v>
      </c>
      <c r="J254" s="20">
        <f>IF(Source!Q85=0," ",Source!Q85)</f>
        <v>178</v>
      </c>
      <c r="K254" s="20" t="str">
        <f>IF(Source!R85=0," ",Source!R85)</f>
        <v> </v>
      </c>
      <c r="L254" s="20" t="str">
        <f>IF(Source!P85=0," ",Source!P85)</f>
        <v> </v>
      </c>
      <c r="M254" s="21" t="str">
        <f>IF(Source!U85=0," ",ROUND(Source!U85,6))</f>
        <v> </v>
      </c>
      <c r="N254" s="21" t="str">
        <f>IF(Source!V85=0," ",ROUND(Source!V85,6))</f>
        <v> </v>
      </c>
      <c r="T254">
        <f>IF(Source!O85=0," ",Source!O85)</f>
        <v>178</v>
      </c>
      <c r="U254" t="s">
        <v>549</v>
      </c>
      <c r="V254" t="str">
        <f>IF(Source!S85=0," ",Source!S85)</f>
        <v> </v>
      </c>
      <c r="W254">
        <f>IF(Source!Q85=0," ",Source!Q85)</f>
        <v>178</v>
      </c>
      <c r="X254" t="str">
        <f>IF(Source!R85=0," ",Source!R85)</f>
        <v> </v>
      </c>
      <c r="Y254" t="str">
        <f>IF(Source!U85=0," ",ROUND(Source!U85,6))</f>
        <v> </v>
      </c>
      <c r="Z254" t="str">
        <f>IF(Source!V85=0," ",ROUND(Source!V85,6))</f>
        <v> </v>
      </c>
    </row>
    <row r="255" spans="1:14" ht="14.25">
      <c r="A255" s="58"/>
      <c r="B255" s="58"/>
      <c r="C255" s="25" t="s">
        <v>551</v>
      </c>
      <c r="D255" s="26"/>
      <c r="E255" s="26"/>
      <c r="F255" s="26"/>
      <c r="G255" s="26"/>
      <c r="H255" s="27">
        <f>SUMIF(Source!AA85:Source!AA85,"=27243028",Source!GM85:Source!GM85)</f>
        <v>178</v>
      </c>
      <c r="I255" s="58"/>
      <c r="J255" s="58"/>
      <c r="K255" s="58"/>
      <c r="L255" s="58"/>
      <c r="M255" s="58"/>
      <c r="N255" s="58"/>
    </row>
    <row r="256" spans="1:14" ht="15">
      <c r="A256" s="46"/>
      <c r="B256" s="47">
        <f>SmtRes!I158</f>
      </c>
      <c r="C256" s="47" t="str">
        <f>SmtRes!K158</f>
        <v>автомобиль-самосвал-10 т</v>
      </c>
      <c r="D256" s="48" t="str">
        <f>SmtRes!O158</f>
        <v>маш.-ч</v>
      </c>
      <c r="E256" s="48">
        <f>SmtRes!Y158</f>
        <v>1.518</v>
      </c>
      <c r="F256" s="48">
        <f>SmtRes!Y158*Source!I85</f>
        <v>1.518</v>
      </c>
      <c r="G256" s="49">
        <f>(SmtRes!AA158+SmtRes!AB158+SmtRes!AD158)</f>
        <v>117.36</v>
      </c>
      <c r="H256" s="50">
        <f>(SmtRes!AA158*SmtRes!Y158*Source!I85+SmtRes!AB158*SmtRes!Y158*Source!I85+SmtRes!AD158*SmtRes!Y158*Source!I85)</f>
        <v>178.15248</v>
      </c>
      <c r="I256" s="48"/>
      <c r="J256" s="50">
        <f>SmtRes!AB158*SmtRes!Y158*Source!I85</f>
        <v>178.15248</v>
      </c>
      <c r="K256" s="50">
        <f>SmtRes!AC158*SmtRes!Y158*Source!I85</f>
        <v>0</v>
      </c>
      <c r="L256" s="48"/>
      <c r="M256" s="48"/>
      <c r="N256" s="51"/>
    </row>
    <row r="257" spans="1:26" ht="55.5">
      <c r="A257" s="16" t="str">
        <f>IF(Source!E86&lt;&gt;"",Source!E86,"")</f>
        <v>9</v>
      </c>
      <c r="B257" s="16" t="str">
        <f>IF(Source!F86&lt;&gt;"",Source!F86,"")</f>
        <v>311-01-148-1</v>
      </c>
      <c r="C257" s="16" t="s">
        <v>599</v>
      </c>
      <c r="D257" s="17" t="str">
        <f>IF(Source!H86&lt;&gt;"",Source!H86,"")</f>
        <v>т</v>
      </c>
      <c r="E257" s="17" t="str">
        <f>IF(Source!J86=0," ",Source!J86)</f>
        <v> </v>
      </c>
      <c r="F257" s="18">
        <f>Source!I86</f>
        <v>1</v>
      </c>
      <c r="G257" s="19">
        <f>IF(Source!AB86=0," ",Source!AB86)</f>
        <v>16.99</v>
      </c>
      <c r="H257" s="20">
        <f>IF(Source!O86=0," ",Source!O86)</f>
        <v>17</v>
      </c>
      <c r="I257" s="20" t="str">
        <f>IF(Source!S86=0," ",Source!S86)</f>
        <v> </v>
      </c>
      <c r="J257" s="20">
        <f>IF(Source!Q86=0," ",Source!Q86)</f>
        <v>17</v>
      </c>
      <c r="K257" s="20" t="str">
        <f>IF(Source!R86=0," ",Source!R86)</f>
        <v> </v>
      </c>
      <c r="L257" s="20" t="str">
        <f>IF(Source!P86=0," ",Source!P86)</f>
        <v> </v>
      </c>
      <c r="M257" s="21" t="str">
        <f>IF(Source!U86=0," ",ROUND(Source!U86,6))</f>
        <v> </v>
      </c>
      <c r="N257" s="21">
        <f>IF(Source!V86=0," ",ROUND(Source!V86,6))</f>
        <v>0.024</v>
      </c>
      <c r="T257">
        <f>IF(Source!O86=0," ",Source!O86)</f>
        <v>17</v>
      </c>
      <c r="U257" t="s">
        <v>549</v>
      </c>
      <c r="V257" t="str">
        <f>IF(Source!S86=0," ",Source!S86)</f>
        <v> </v>
      </c>
      <c r="W257">
        <f>IF(Source!Q86=0," ",Source!Q86)</f>
        <v>17</v>
      </c>
      <c r="X257" t="str">
        <f>IF(Source!R86=0," ",Source!R86)</f>
        <v> </v>
      </c>
      <c r="Y257" t="str">
        <f>IF(Source!U86=0," ",ROUND(Source!U86,6))</f>
        <v> </v>
      </c>
      <c r="Z257">
        <f>IF(Source!V86=0," ",ROUND(Source!V86,6))</f>
        <v>0.024</v>
      </c>
    </row>
    <row r="258" spans="1:14" ht="14.25">
      <c r="A258" s="58"/>
      <c r="B258" s="58"/>
      <c r="C258" s="25" t="s">
        <v>551</v>
      </c>
      <c r="D258" s="26"/>
      <c r="E258" s="26"/>
      <c r="F258" s="26"/>
      <c r="G258" s="26"/>
      <c r="H258" s="27">
        <f>SUMIF(Source!AA86:Source!AA86,"=27243028",Source!GM86:Source!GM86)</f>
        <v>17</v>
      </c>
      <c r="I258" s="58"/>
      <c r="J258" s="58"/>
      <c r="K258" s="58"/>
      <c r="L258" s="58"/>
      <c r="M258" s="58"/>
      <c r="N258" s="58"/>
    </row>
    <row r="259" spans="1:14" ht="15">
      <c r="A259" s="28"/>
      <c r="B259" s="31" t="str">
        <f>SmtRes!I159</f>
        <v>2</v>
      </c>
      <c r="C259" s="31" t="str">
        <f>SmtRes!K159</f>
        <v>Затраты труда машинистов</v>
      </c>
      <c r="D259" s="29" t="str">
        <f>SmtRes!O159</f>
        <v>чел.час</v>
      </c>
      <c r="E259" s="29">
        <f>SmtRes!Y159</f>
        <v>0.024</v>
      </c>
      <c r="F259" s="29">
        <f>SmtRes!Y159*Source!I86</f>
        <v>0.024</v>
      </c>
      <c r="G259" s="32">
        <f>(SmtRes!AA159+SmtRes!AB159+SmtRes!AD159)</f>
        <v>0</v>
      </c>
      <c r="H259" s="33">
        <f>(SmtRes!AA159*SmtRes!Y159*Source!I86+SmtRes!AB159*SmtRes!Y159*Source!I86+SmtRes!AD159*SmtRes!Y159*Source!I86)</f>
        <v>0</v>
      </c>
      <c r="I259" s="29"/>
      <c r="J259" s="29"/>
      <c r="K259" s="33">
        <f>SmtRes!AC159*SmtRes!Y159*Source!I86</f>
        <v>0</v>
      </c>
      <c r="L259" s="29"/>
      <c r="M259" s="29"/>
      <c r="N259" s="30"/>
    </row>
    <row r="260" spans="1:14" ht="45">
      <c r="A260" s="34"/>
      <c r="B260" s="37" t="str">
        <f>SmtRes!I160</f>
        <v>060248</v>
      </c>
      <c r="C260" s="37" t="str">
        <f>SmtRes!K160</f>
        <v>Экскаваторы одноковшовые дизельные на гусеничном ходу при работе на других видах строительства 0,65 м3</v>
      </c>
      <c r="D260" s="35" t="str">
        <f>SmtRes!O160</f>
        <v>маш.ч</v>
      </c>
      <c r="E260" s="35">
        <f>SmtRes!Y160</f>
        <v>0.024</v>
      </c>
      <c r="F260" s="35">
        <f>SmtRes!Y160*Source!I86</f>
        <v>0.024</v>
      </c>
      <c r="G260" s="38">
        <f>(SmtRes!AA160+SmtRes!AB160+SmtRes!AD160)</f>
        <v>707.78</v>
      </c>
      <c r="H260" s="39">
        <f>(SmtRes!AA160*SmtRes!Y160*Source!I86+SmtRes!AB160*SmtRes!Y160*Source!I86+SmtRes!AD160*SmtRes!Y160*Source!I86)</f>
        <v>16.98672</v>
      </c>
      <c r="I260" s="35"/>
      <c r="J260" s="39">
        <f>SmtRes!AB160*SmtRes!Y160*Source!I86</f>
        <v>16.98672</v>
      </c>
      <c r="K260" s="39">
        <f>SmtRes!AC160*SmtRes!Y160*Source!I86</f>
        <v>0</v>
      </c>
      <c r="L260" s="35"/>
      <c r="M260" s="35"/>
      <c r="N260" s="36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4.25">
      <c r="A262" s="112" t="s">
        <v>206</v>
      </c>
      <c r="B262" s="112"/>
      <c r="C262" s="112"/>
      <c r="D262" s="112"/>
      <c r="E262" s="112"/>
      <c r="F262" s="112"/>
      <c r="G262" s="112"/>
      <c r="H262" s="52">
        <f>IF(SUM(T7:T261)=0," ",SUM(T7:T261))</f>
        <v>8344653</v>
      </c>
      <c r="I262" s="52">
        <f>IF(SUM(V7:V261)=0," ",SUM(V7:V261))</f>
        <v>506358</v>
      </c>
      <c r="J262" s="52">
        <f>IF(SUM(W7:W261)=0," ",SUM(W7:W261))</f>
        <v>38396</v>
      </c>
      <c r="K262" s="52" t="str">
        <f>IF(SUM(X7:X261)=0," ",SUM(X7:X261))</f>
        <v> </v>
      </c>
      <c r="L262" s="52">
        <f>IF(SUM(U7:U261)=0," ",SUM(U7:U261))</f>
        <v>7799899</v>
      </c>
      <c r="M262" s="52">
        <f>IF(SUM(Y7:Y261)=0," ",SUM(Y7:Y261))</f>
        <v>3898.793382</v>
      </c>
      <c r="N262" s="52">
        <f>IF(SUM(Z7:Z261)=0," ",SUM(Z7:Z261))</f>
        <v>18.613400000000002</v>
      </c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34" ht="15">
      <c r="A264" s="113" t="str">
        <f>IF(Source!H136&lt;&gt;"",Source!H136,"")</f>
        <v>Эксплуатация машин</v>
      </c>
      <c r="B264" s="113"/>
      <c r="C264" s="113"/>
      <c r="D264" s="113"/>
      <c r="E264" s="113"/>
      <c r="F264" s="113"/>
      <c r="G264" s="113"/>
      <c r="H264" s="87">
        <f>J264</f>
        <v>38396</v>
      </c>
      <c r="I264" s="58"/>
      <c r="J264" s="54">
        <f>Source!F136</f>
        <v>38396</v>
      </c>
      <c r="K264" s="58"/>
      <c r="L264" s="58"/>
      <c r="M264" s="58"/>
      <c r="N264" s="58"/>
      <c r="AH264" s="55" t="s">
        <v>134</v>
      </c>
    </row>
    <row r="265" spans="1:34" ht="15">
      <c r="A265" s="113" t="str">
        <f>IF(Source!H138&lt;&gt;"",Source!H138,"")</f>
        <v>Основная ЗП рабочих</v>
      </c>
      <c r="B265" s="113"/>
      <c r="C265" s="113"/>
      <c r="D265" s="113"/>
      <c r="E265" s="113"/>
      <c r="F265" s="113"/>
      <c r="G265" s="113"/>
      <c r="H265" s="87">
        <f>I265</f>
        <v>506358</v>
      </c>
      <c r="I265" s="54">
        <f>Source!F138</f>
        <v>506358</v>
      </c>
      <c r="J265" s="58"/>
      <c r="K265" s="58"/>
      <c r="L265" s="58"/>
      <c r="M265" s="58"/>
      <c r="N265" s="58"/>
      <c r="AH265" s="55" t="s">
        <v>138</v>
      </c>
    </row>
    <row r="266" spans="1:34" ht="15">
      <c r="A266" s="113" t="str">
        <f>IF(Source!H146&lt;&gt;"",Source!H146,"")</f>
        <v>Накладные расходы</v>
      </c>
      <c r="B266" s="113"/>
      <c r="C266" s="113"/>
      <c r="D266" s="113"/>
      <c r="E266" s="113"/>
      <c r="F266" s="113"/>
      <c r="G266" s="113"/>
      <c r="H266" s="54">
        <f>Source!F146</f>
        <v>527899</v>
      </c>
      <c r="I266" s="58"/>
      <c r="J266" s="58"/>
      <c r="K266" s="58"/>
      <c r="L266" s="58"/>
      <c r="M266" s="58"/>
      <c r="N266" s="58"/>
      <c r="AH266" s="55" t="s">
        <v>154</v>
      </c>
    </row>
    <row r="267" spans="1:34" ht="15">
      <c r="A267" s="113" t="str">
        <f>IF(Source!H147&lt;&gt;"",Source!H147,"")</f>
        <v>Сметная прибыль</v>
      </c>
      <c r="B267" s="113"/>
      <c r="C267" s="113"/>
      <c r="D267" s="113"/>
      <c r="E267" s="113"/>
      <c r="F267" s="113"/>
      <c r="G267" s="113"/>
      <c r="H267" s="54">
        <f>Source!F147</f>
        <v>291169</v>
      </c>
      <c r="I267" s="58"/>
      <c r="J267" s="58"/>
      <c r="K267" s="58"/>
      <c r="L267" s="58"/>
      <c r="M267" s="58"/>
      <c r="N267" s="58"/>
      <c r="AH267" s="55" t="s">
        <v>156</v>
      </c>
    </row>
    <row r="268" spans="1:34" ht="15">
      <c r="A268" s="113" t="str">
        <f>IF(Source!H149&lt;&gt;"",Source!H149,"")</f>
        <v>Итого</v>
      </c>
      <c r="B268" s="113"/>
      <c r="C268" s="113"/>
      <c r="D268" s="113"/>
      <c r="E268" s="113"/>
      <c r="F268" s="113"/>
      <c r="G268" s="113"/>
      <c r="H268" s="54">
        <f>Source!F149</f>
        <v>1363822</v>
      </c>
      <c r="I268" s="58"/>
      <c r="J268" s="58"/>
      <c r="K268" s="58"/>
      <c r="L268" s="58"/>
      <c r="M268" s="58"/>
      <c r="N268" s="58"/>
      <c r="AH268" s="55" t="s">
        <v>160</v>
      </c>
    </row>
    <row r="269" spans="1:34" ht="15">
      <c r="A269" s="113" t="str">
        <f>IF(Source!H150&lt;&gt;"",Source!H150,"")</f>
        <v>Стоимость материальных ресурсов</v>
      </c>
      <c r="B269" s="113"/>
      <c r="C269" s="113"/>
      <c r="D269" s="113"/>
      <c r="E269" s="113"/>
      <c r="F269" s="113"/>
      <c r="G269" s="113"/>
      <c r="H269" s="54">
        <f>Source!F150</f>
        <v>7799899</v>
      </c>
      <c r="I269" s="58"/>
      <c r="J269" s="58"/>
      <c r="K269" s="58"/>
      <c r="L269" s="58"/>
      <c r="M269" s="58"/>
      <c r="N269" s="58"/>
      <c r="AH269" s="55" t="s">
        <v>205</v>
      </c>
    </row>
    <row r="270" spans="1:34" ht="15">
      <c r="A270" s="113" t="str">
        <f>IF(Source!H151&lt;&gt;"",Source!H151,"")</f>
        <v>Автотранспорт 7%</v>
      </c>
      <c r="B270" s="113"/>
      <c r="C270" s="113"/>
      <c r="D270" s="113"/>
      <c r="E270" s="113"/>
      <c r="F270" s="113"/>
      <c r="G270" s="113"/>
      <c r="H270" s="54">
        <f>Source!F151</f>
        <v>545993</v>
      </c>
      <c r="I270" s="58"/>
      <c r="J270" s="58"/>
      <c r="K270" s="58"/>
      <c r="L270" s="58"/>
      <c r="M270" s="58"/>
      <c r="N270" s="58"/>
      <c r="AH270" s="55" t="s">
        <v>172</v>
      </c>
    </row>
    <row r="271" spans="1:34" ht="15">
      <c r="A271" s="113" t="str">
        <f>IF(Source!H152&lt;&gt;"",Source!H152,"")</f>
        <v>Итого по смете</v>
      </c>
      <c r="B271" s="113"/>
      <c r="C271" s="113"/>
      <c r="D271" s="113"/>
      <c r="E271" s="113"/>
      <c r="F271" s="113"/>
      <c r="G271" s="113"/>
      <c r="H271" s="54">
        <f>Source!F152</f>
        <v>9709714</v>
      </c>
      <c r="I271" s="58"/>
      <c r="J271" s="58"/>
      <c r="K271" s="58"/>
      <c r="L271" s="58"/>
      <c r="M271" s="58"/>
      <c r="N271" s="58"/>
      <c r="AH271" s="55" t="s">
        <v>206</v>
      </c>
    </row>
    <row r="272" spans="1:34" ht="15">
      <c r="A272" s="113" t="str">
        <f>IF(Source!H153&lt;&gt;"",Source!H153,"")</f>
        <v>НДС 18%</v>
      </c>
      <c r="B272" s="113"/>
      <c r="C272" s="113"/>
      <c r="D272" s="113"/>
      <c r="E272" s="113"/>
      <c r="F272" s="113"/>
      <c r="G272" s="113"/>
      <c r="H272" s="54">
        <f>Source!F153</f>
        <v>1747749</v>
      </c>
      <c r="I272" s="58"/>
      <c r="J272" s="58"/>
      <c r="K272" s="58"/>
      <c r="L272" s="58"/>
      <c r="M272" s="58"/>
      <c r="N272" s="58"/>
      <c r="AH272" s="55" t="s">
        <v>176</v>
      </c>
    </row>
    <row r="273" spans="1:34" ht="15">
      <c r="A273" s="113" t="str">
        <f>IF(Source!H154&lt;&gt;"",Source!H154,"")</f>
        <v>Всего по смете</v>
      </c>
      <c r="B273" s="113"/>
      <c r="C273" s="113"/>
      <c r="D273" s="113"/>
      <c r="E273" s="113"/>
      <c r="F273" s="113"/>
      <c r="G273" s="113"/>
      <c r="H273" s="98">
        <f>Source!F154</f>
        <v>11457463</v>
      </c>
      <c r="I273" s="58"/>
      <c r="J273" s="58"/>
      <c r="K273" s="58"/>
      <c r="L273" s="58"/>
      <c r="M273" s="58"/>
      <c r="N273" s="58"/>
      <c r="AH273" s="55" t="s">
        <v>208</v>
      </c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</sheetData>
  <sheetProtection/>
  <mergeCells count="40">
    <mergeCell ref="A273:G273"/>
    <mergeCell ref="A267:G267"/>
    <mergeCell ref="A268:G268"/>
    <mergeCell ref="A269:G269"/>
    <mergeCell ref="A270:G270"/>
    <mergeCell ref="A271:G271"/>
    <mergeCell ref="A272:G272"/>
    <mergeCell ref="A18:N18"/>
    <mergeCell ref="A178:N178"/>
    <mergeCell ref="A262:G262"/>
    <mergeCell ref="A264:G264"/>
    <mergeCell ref="A265:G265"/>
    <mergeCell ref="A266:G266"/>
    <mergeCell ref="M14:M16"/>
    <mergeCell ref="N14:N16"/>
    <mergeCell ref="E15:E16"/>
    <mergeCell ref="F15:F16"/>
    <mergeCell ref="G15:G16"/>
    <mergeCell ref="H15:H16"/>
    <mergeCell ref="I15:L15"/>
    <mergeCell ref="B5:E5"/>
    <mergeCell ref="J5:N5"/>
    <mergeCell ref="B6:E6"/>
    <mergeCell ref="J6:N6"/>
    <mergeCell ref="A14:A16"/>
    <mergeCell ref="B14:B16"/>
    <mergeCell ref="C14:C16"/>
    <mergeCell ref="D14:D16"/>
    <mergeCell ref="E14:F14"/>
    <mergeCell ref="G14:L14"/>
    <mergeCell ref="A7:C7"/>
    <mergeCell ref="A8:I8"/>
    <mergeCell ref="A10:N10"/>
    <mergeCell ref="A11:N11"/>
    <mergeCell ref="A13:L13"/>
    <mergeCell ref="H1:N1"/>
    <mergeCell ref="B3:E3"/>
    <mergeCell ref="J3:N3"/>
    <mergeCell ref="B4:E4"/>
    <mergeCell ref="J4:N4"/>
  </mergeCells>
  <printOptions/>
  <pageMargins left="0.4" right="0.2" top="0.37" bottom="0.4" header="0.2" footer="0.2"/>
  <pageSetup horizontalDpi="600" verticalDpi="600" orientation="landscape" paperSize="9" scale="7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624</v>
      </c>
      <c r="B1" t="s">
        <v>625</v>
      </c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</row>
    <row r="2" spans="1:10" ht="12.75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1</v>
      </c>
      <c r="J2">
        <v>0</v>
      </c>
    </row>
    <row r="4" spans="1:17" ht="12.75">
      <c r="A4" t="s">
        <v>607</v>
      </c>
      <c r="B4" t="s">
        <v>608</v>
      </c>
      <c r="C4" t="s">
        <v>609</v>
      </c>
      <c r="D4" t="s">
        <v>610</v>
      </c>
      <c r="E4" t="s">
        <v>611</v>
      </c>
      <c r="F4" t="s">
        <v>612</v>
      </c>
      <c r="G4" t="s">
        <v>613</v>
      </c>
      <c r="H4" t="s">
        <v>614</v>
      </c>
      <c r="I4" t="s">
        <v>615</v>
      </c>
      <c r="J4" t="s">
        <v>616</v>
      </c>
      <c r="K4" t="s">
        <v>617</v>
      </c>
      <c r="L4" t="s">
        <v>618</v>
      </c>
      <c r="M4" t="s">
        <v>619</v>
      </c>
      <c r="N4" t="s">
        <v>620</v>
      </c>
      <c r="O4" t="s">
        <v>621</v>
      </c>
      <c r="P4" t="s">
        <v>622</v>
      </c>
      <c r="Q4" t="s">
        <v>623</v>
      </c>
    </row>
    <row r="6" spans="1:7" ht="12.75">
      <c r="A6">
        <f>Source!A20</f>
        <v>3</v>
      </c>
      <c r="B6">
        <v>20</v>
      </c>
      <c r="G6" t="str">
        <f>Source!G20</f>
        <v>Ремонт кровли фонаря в осях (3-12)(Д-Е); (И-К)</v>
      </c>
    </row>
    <row r="7" spans="1:17" ht="12.75">
      <c r="A7">
        <f>Source!A26</f>
        <v>17</v>
      </c>
      <c r="C7">
        <v>3</v>
      </c>
      <c r="D7">
        <v>0</v>
      </c>
      <c r="E7">
        <f>SmtRes!AV26</f>
        <v>0</v>
      </c>
      <c r="F7" t="str">
        <f>SmtRes!I26</f>
        <v>113-0021</v>
      </c>
      <c r="G7" t="str">
        <f>SmtRes!K26</f>
        <v>Грунтовка ГФ-021 красно-коричневая</v>
      </c>
      <c r="H7" t="str">
        <f>SmtRes!O26</f>
        <v>т</v>
      </c>
      <c r="I7">
        <f>SmtRes!Y26*Source!I26</f>
        <v>0.00029516</v>
      </c>
      <c r="J7">
        <f>SmtRes!AO26</f>
        <v>0</v>
      </c>
      <c r="K7">
        <f>SmtRes!AE26</f>
        <v>67779.66</v>
      </c>
      <c r="L7">
        <f aca="true" t="shared" si="0" ref="L7:L53">I7*K7</f>
        <v>20.0058444456</v>
      </c>
      <c r="M7">
        <f>SmtRes!AA26</f>
        <v>67779.66</v>
      </c>
      <c r="N7">
        <f aca="true" t="shared" si="1" ref="N7:N53">I7*M7</f>
        <v>20.0058444456</v>
      </c>
      <c r="O7">
        <f>SmtRes!X26</f>
        <v>-1426249434</v>
      </c>
      <c r="P7">
        <v>-485462817</v>
      </c>
      <c r="Q7">
        <v>-485462817</v>
      </c>
    </row>
    <row r="8" spans="1:17" ht="12.75">
      <c r="A8">
        <f>Source!A26</f>
        <v>17</v>
      </c>
      <c r="C8">
        <v>3</v>
      </c>
      <c r="D8">
        <v>0</v>
      </c>
      <c r="E8">
        <f>SmtRes!AV25</f>
        <v>0</v>
      </c>
      <c r="F8" t="str">
        <f>SmtRes!I25</f>
        <v>102-0023</v>
      </c>
      <c r="G8" t="str">
        <f>SmtRes!K25</f>
        <v>Бруски обрезные хвойных пород длиной 4-6,5 м, шириной 75-150 мм, толщиной 40-75 мм, I сорта</v>
      </c>
      <c r="H8" t="str">
        <f>SmtRes!O25</f>
        <v>м3</v>
      </c>
      <c r="I8">
        <f>SmtRes!Y25*Source!I26</f>
        <v>0.0008164</v>
      </c>
      <c r="J8">
        <f>SmtRes!AO25</f>
        <v>0</v>
      </c>
      <c r="K8">
        <f>SmtRes!AE25</f>
        <v>5762.71</v>
      </c>
      <c r="L8">
        <f t="shared" si="0"/>
        <v>4.704676444</v>
      </c>
      <c r="M8">
        <f>SmtRes!AA25</f>
        <v>5762.71</v>
      </c>
      <c r="N8">
        <f t="shared" si="1"/>
        <v>4.704676444</v>
      </c>
      <c r="O8">
        <f>SmtRes!X25</f>
        <v>-2017141488</v>
      </c>
      <c r="P8">
        <v>-1716790132</v>
      </c>
      <c r="Q8">
        <v>-1716790132</v>
      </c>
    </row>
    <row r="9" spans="1:17" ht="12.75">
      <c r="A9">
        <f>Source!A26</f>
        <v>17</v>
      </c>
      <c r="C9">
        <v>3</v>
      </c>
      <c r="D9">
        <v>0</v>
      </c>
      <c r="E9">
        <f>SmtRes!AV24</f>
        <v>0</v>
      </c>
      <c r="F9" t="str">
        <f>SmtRes!I24</f>
        <v>101-9910</v>
      </c>
      <c r="G9" t="str">
        <f>SmtRes!K24</f>
        <v>Стальной гнутый профиль (профилированный настил)</v>
      </c>
      <c r="H9" t="str">
        <f>SmtRes!O24</f>
        <v>м2</v>
      </c>
      <c r="I9">
        <f>SmtRes!Y24*Source!I26</f>
        <v>72.22</v>
      </c>
      <c r="J9">
        <f>SmtRes!AO24</f>
        <v>0</v>
      </c>
      <c r="K9">
        <f>SmtRes!AE24</f>
        <v>237.29</v>
      </c>
      <c r="L9">
        <f t="shared" si="0"/>
        <v>17137.0838</v>
      </c>
      <c r="M9">
        <f>SmtRes!AA24</f>
        <v>237.29</v>
      </c>
      <c r="N9">
        <f t="shared" si="1"/>
        <v>17137.0838</v>
      </c>
      <c r="O9">
        <f>SmtRes!X24</f>
        <v>-198988481</v>
      </c>
      <c r="P9">
        <v>-1791394818</v>
      </c>
      <c r="Q9">
        <v>-1791394818</v>
      </c>
    </row>
    <row r="10" spans="1:17" ht="12.75">
      <c r="A10">
        <f>Source!A26</f>
        <v>17</v>
      </c>
      <c r="C10">
        <v>3</v>
      </c>
      <c r="D10">
        <v>0</v>
      </c>
      <c r="E10">
        <f>SmtRes!AV23</f>
        <v>0</v>
      </c>
      <c r="F10" t="str">
        <f>SmtRes!I23</f>
        <v>101-2467</v>
      </c>
      <c r="G10" t="str">
        <f>SmtRes!K23</f>
        <v>Растворитель марки Р-4</v>
      </c>
      <c r="H10" t="str">
        <f>SmtRes!O23</f>
        <v>т</v>
      </c>
      <c r="I10">
        <f>SmtRes!Y23*Source!I26</f>
        <v>5.652E-05</v>
      </c>
      <c r="J10">
        <f>SmtRes!AO23</f>
        <v>0</v>
      </c>
      <c r="K10">
        <f>SmtRes!AE23</f>
        <v>132200</v>
      </c>
      <c r="L10">
        <f t="shared" si="0"/>
        <v>7.471944</v>
      </c>
      <c r="M10">
        <f>SmtRes!AA23</f>
        <v>132200</v>
      </c>
      <c r="N10">
        <f t="shared" si="1"/>
        <v>7.471944</v>
      </c>
      <c r="O10">
        <f>SmtRes!X23</f>
        <v>293395486</v>
      </c>
      <c r="P10">
        <v>1525141026</v>
      </c>
      <c r="Q10">
        <v>1525141026</v>
      </c>
    </row>
    <row r="11" spans="1:17" ht="12.75">
      <c r="A11">
        <f>Source!A26</f>
        <v>17</v>
      </c>
      <c r="C11">
        <v>3</v>
      </c>
      <c r="D11">
        <v>0</v>
      </c>
      <c r="E11">
        <f>SmtRes!AV22</f>
        <v>0</v>
      </c>
      <c r="F11" t="str">
        <f>SmtRes!I22</f>
        <v>101-2278</v>
      </c>
      <c r="G11" t="str">
        <f>SmtRes!K22</f>
        <v>Пропан-бутан, смесь техническая</v>
      </c>
      <c r="H11" t="str">
        <f>SmtRes!O22</f>
        <v>кг</v>
      </c>
      <c r="I11">
        <f>SmtRes!Y22*Source!I26</f>
        <v>0.26376</v>
      </c>
      <c r="J11">
        <f>SmtRes!AO22</f>
        <v>0</v>
      </c>
      <c r="K11">
        <f>SmtRes!AE22</f>
        <v>35</v>
      </c>
      <c r="L11">
        <f t="shared" si="0"/>
        <v>9.2316</v>
      </c>
      <c r="M11">
        <f>SmtRes!AA22</f>
        <v>35</v>
      </c>
      <c r="N11">
        <f t="shared" si="1"/>
        <v>9.2316</v>
      </c>
      <c r="O11">
        <f>SmtRes!X22</f>
        <v>1525406613</v>
      </c>
      <c r="P11">
        <v>-894429062</v>
      </c>
      <c r="Q11">
        <v>-894429062</v>
      </c>
    </row>
    <row r="12" spans="1:17" ht="12.75">
      <c r="A12">
        <f>Source!A26</f>
        <v>17</v>
      </c>
      <c r="C12">
        <v>3</v>
      </c>
      <c r="D12">
        <v>0</v>
      </c>
      <c r="E12">
        <f>SmtRes!AV21</f>
        <v>0</v>
      </c>
      <c r="F12" t="str">
        <f>SmtRes!I21</f>
        <v>101-1714</v>
      </c>
      <c r="G12" t="str">
        <f>SmtRes!K21</f>
        <v>Болты с гайками и шайбами строительные</v>
      </c>
      <c r="H12" t="str">
        <f>SmtRes!O21</f>
        <v>т</v>
      </c>
      <c r="I12">
        <f>SmtRes!Y21*Source!I26</f>
        <v>0.0013816000000000002</v>
      </c>
      <c r="J12">
        <f>SmtRes!AO21</f>
        <v>0</v>
      </c>
      <c r="K12">
        <f>SmtRes!AE21</f>
        <v>98305.08</v>
      </c>
      <c r="L12">
        <f t="shared" si="0"/>
        <v>135.818298528</v>
      </c>
      <c r="M12">
        <f>SmtRes!AA21</f>
        <v>98305.08</v>
      </c>
      <c r="N12">
        <f t="shared" si="1"/>
        <v>135.818298528</v>
      </c>
      <c r="O12">
        <f>SmtRes!X21</f>
        <v>-92979198</v>
      </c>
      <c r="P12">
        <v>-81566705</v>
      </c>
      <c r="Q12">
        <v>-81566705</v>
      </c>
    </row>
    <row r="13" spans="1:17" ht="12.75">
      <c r="A13">
        <f>Source!A26</f>
        <v>17</v>
      </c>
      <c r="C13">
        <v>3</v>
      </c>
      <c r="D13">
        <v>0</v>
      </c>
      <c r="E13">
        <f>SmtRes!AV20</f>
        <v>0</v>
      </c>
      <c r="F13" t="str">
        <f>SmtRes!I20</f>
        <v>101-1513</v>
      </c>
      <c r="G13" t="str">
        <f>SmtRes!K20</f>
        <v>Электроды диаметром 4 мм Э42</v>
      </c>
      <c r="H13" t="str">
        <f>SmtRes!O20</f>
        <v>т</v>
      </c>
      <c r="I13">
        <f>SmtRes!Y20*Source!I26</f>
        <v>0.00038308</v>
      </c>
      <c r="J13">
        <f>SmtRes!AO20</f>
        <v>0</v>
      </c>
      <c r="K13">
        <f>SmtRes!AE20</f>
        <v>73728.6</v>
      </c>
      <c r="L13">
        <f t="shared" si="0"/>
        <v>28.243952088</v>
      </c>
      <c r="M13">
        <f>SmtRes!AA20</f>
        <v>73728.6</v>
      </c>
      <c r="N13">
        <f t="shared" si="1"/>
        <v>28.243952088</v>
      </c>
      <c r="O13">
        <f>SmtRes!X20</f>
        <v>-1207479842</v>
      </c>
      <c r="P13">
        <v>923707930</v>
      </c>
      <c r="Q13">
        <v>923707930</v>
      </c>
    </row>
    <row r="14" spans="1:17" ht="12.75">
      <c r="A14">
        <f>Source!A26</f>
        <v>17</v>
      </c>
      <c r="C14">
        <v>3</v>
      </c>
      <c r="D14">
        <v>0</v>
      </c>
      <c r="E14">
        <f>SmtRes!AV19</f>
        <v>0</v>
      </c>
      <c r="F14" t="str">
        <f>SmtRes!I19</f>
        <v>101-0797</v>
      </c>
      <c r="G14" t="str">
        <f>SmtRes!K19</f>
        <v>Проволока горячекатаная в мотках, диаметром 6,3-6,5 мм</v>
      </c>
      <c r="H14" t="str">
        <f>SmtRes!O19</f>
        <v>т</v>
      </c>
      <c r="I14">
        <f>SmtRes!Y19*Source!I26</f>
        <v>2.5120000000000003E-05</v>
      </c>
      <c r="J14">
        <f>SmtRes!AO19</f>
        <v>0</v>
      </c>
      <c r="K14">
        <f>SmtRes!AE19</f>
        <v>68136</v>
      </c>
      <c r="L14">
        <f t="shared" si="0"/>
        <v>1.7115763200000003</v>
      </c>
      <c r="M14">
        <f>SmtRes!AA19</f>
        <v>68136</v>
      </c>
      <c r="N14">
        <f t="shared" si="1"/>
        <v>1.7115763200000003</v>
      </c>
      <c r="O14">
        <f>SmtRes!X19</f>
        <v>1887229518</v>
      </c>
      <c r="P14">
        <v>-1045687378</v>
      </c>
      <c r="Q14">
        <v>-1045687378</v>
      </c>
    </row>
    <row r="15" spans="1:17" ht="12.75">
      <c r="A15">
        <f>Source!A26</f>
        <v>17</v>
      </c>
      <c r="C15">
        <v>3</v>
      </c>
      <c r="D15">
        <v>0</v>
      </c>
      <c r="E15">
        <f>SmtRes!AV18</f>
        <v>0</v>
      </c>
      <c r="F15" t="str">
        <f>SmtRes!I18</f>
        <v>101-0324</v>
      </c>
      <c r="G15" t="str">
        <f>SmtRes!K18</f>
        <v>Кислород технический газообразный</v>
      </c>
      <c r="H15" t="str">
        <f>SmtRes!O18</f>
        <v>м3</v>
      </c>
      <c r="I15">
        <f>SmtRes!Y18*Source!I26</f>
        <v>0.8792</v>
      </c>
      <c r="J15">
        <f>SmtRes!AO18</f>
        <v>0</v>
      </c>
      <c r="K15">
        <f>SmtRes!AE18</f>
        <v>43</v>
      </c>
      <c r="L15">
        <f t="shared" si="0"/>
        <v>37.8056</v>
      </c>
      <c r="M15">
        <f>SmtRes!AA18</f>
        <v>43</v>
      </c>
      <c r="N15">
        <f t="shared" si="1"/>
        <v>37.8056</v>
      </c>
      <c r="O15">
        <f>SmtRes!X18</f>
        <v>1626293865</v>
      </c>
      <c r="P15">
        <v>-1234444586</v>
      </c>
      <c r="Q15">
        <v>-1234444586</v>
      </c>
    </row>
    <row r="16" spans="1:17" ht="12.75">
      <c r="A16">
        <f>Source!A28</f>
        <v>17</v>
      </c>
      <c r="C16">
        <v>3</v>
      </c>
      <c r="D16">
        <v>0</v>
      </c>
      <c r="E16">
        <f>SmtRes!AV36</f>
        <v>0</v>
      </c>
      <c r="F16" t="str">
        <f>SmtRes!I36</f>
        <v>101-0856</v>
      </c>
      <c r="G16" t="str">
        <f>SmtRes!K36</f>
        <v>Пленка полиэтиленовая</v>
      </c>
      <c r="H16" t="str">
        <f>SmtRes!O36</f>
        <v>м2</v>
      </c>
      <c r="I16">
        <f>SmtRes!Y36*Source!I28</f>
        <v>69.08</v>
      </c>
      <c r="J16">
        <f>SmtRes!AO36</f>
        <v>0</v>
      </c>
      <c r="K16">
        <f>SmtRes!AE36</f>
        <v>63.47</v>
      </c>
      <c r="L16">
        <f t="shared" si="0"/>
        <v>4384.5076</v>
      </c>
      <c r="M16">
        <f>SmtRes!AA36</f>
        <v>63.47</v>
      </c>
      <c r="N16">
        <f t="shared" si="1"/>
        <v>4384.5076</v>
      </c>
      <c r="O16">
        <f>SmtRes!X36</f>
        <v>1078476973</v>
      </c>
      <c r="P16">
        <v>1550977401</v>
      </c>
      <c r="Q16">
        <v>1550977401</v>
      </c>
    </row>
    <row r="17" spans="1:17" ht="12.75">
      <c r="A17">
        <f>Source!A28</f>
        <v>17</v>
      </c>
      <c r="C17">
        <v>3</v>
      </c>
      <c r="D17">
        <v>0</v>
      </c>
      <c r="E17">
        <f>SmtRes!AV35</f>
        <v>0</v>
      </c>
      <c r="F17" t="str">
        <f>SmtRes!I35</f>
        <v>101-0594</v>
      </c>
      <c r="G17" t="str">
        <f>SmtRes!K35</f>
        <v>Мастика</v>
      </c>
      <c r="H17" t="str">
        <f>SmtRes!O35</f>
        <v>т</v>
      </c>
      <c r="I17">
        <f>SmtRes!Y35*Source!I28</f>
        <v>0.123088</v>
      </c>
      <c r="J17">
        <f>SmtRes!AO35</f>
        <v>0</v>
      </c>
      <c r="K17">
        <f>SmtRes!AE35</f>
        <v>88135.59</v>
      </c>
      <c r="L17">
        <f t="shared" si="0"/>
        <v>10848.43350192</v>
      </c>
      <c r="M17">
        <f>SmtRes!AA35</f>
        <v>88135.59</v>
      </c>
      <c r="N17">
        <f t="shared" si="1"/>
        <v>10848.43350192</v>
      </c>
      <c r="O17">
        <f>SmtRes!X35</f>
        <v>-292470504</v>
      </c>
      <c r="P17">
        <v>-928458332</v>
      </c>
      <c r="Q17">
        <v>-928458332</v>
      </c>
    </row>
    <row r="18" spans="1:17" ht="12.75">
      <c r="A18">
        <f>Source!A29</f>
        <v>17</v>
      </c>
      <c r="C18">
        <v>3</v>
      </c>
      <c r="D18">
        <v>0</v>
      </c>
      <c r="E18">
        <f>SmtRes!AV45</f>
        <v>0</v>
      </c>
      <c r="F18" t="str">
        <f>SmtRes!I45</f>
        <v>104-0004</v>
      </c>
      <c r="G18" t="str">
        <f>SmtRes!K45</f>
        <v>Минплита Изоруф Н 60 мм</v>
      </c>
      <c r="H18" t="str">
        <f>SmtRes!O45</f>
        <v>м3</v>
      </c>
      <c r="I18">
        <f>SmtRes!Y45*Source!I29</f>
        <v>10.1352</v>
      </c>
      <c r="J18">
        <f>SmtRes!AO45</f>
        <v>0</v>
      </c>
      <c r="K18">
        <f>SmtRes!AE45</f>
        <v>3946.75</v>
      </c>
      <c r="L18">
        <f t="shared" si="0"/>
        <v>40001.1006</v>
      </c>
      <c r="M18">
        <f>SmtRes!AA45</f>
        <v>3946.75</v>
      </c>
      <c r="N18">
        <f t="shared" si="1"/>
        <v>40001.1006</v>
      </c>
      <c r="O18">
        <f>SmtRes!X45</f>
        <v>-1428075102</v>
      </c>
      <c r="P18">
        <v>73249437</v>
      </c>
      <c r="Q18">
        <v>73249437</v>
      </c>
    </row>
    <row r="19" spans="1:17" ht="12.75">
      <c r="A19">
        <f>Source!A29</f>
        <v>17</v>
      </c>
      <c r="C19">
        <v>3</v>
      </c>
      <c r="D19">
        <v>0</v>
      </c>
      <c r="E19">
        <f>SmtRes!AV44</f>
        <v>0</v>
      </c>
      <c r="F19">
        <f>SmtRes!I44</f>
      </c>
      <c r="G19" t="str">
        <f>SmtRes!K44</f>
        <v>Саморез</v>
      </c>
      <c r="H19" t="str">
        <f>SmtRes!O44</f>
        <v>ШТ</v>
      </c>
      <c r="I19">
        <f>SmtRes!Y44*Source!I29</f>
        <v>410</v>
      </c>
      <c r="J19">
        <f>SmtRes!AO44</f>
        <v>0</v>
      </c>
      <c r="K19">
        <f>SmtRes!AE44</f>
        <v>1.56</v>
      </c>
      <c r="L19">
        <f t="shared" si="0"/>
        <v>639.6</v>
      </c>
      <c r="M19">
        <f>SmtRes!AA44</f>
        <v>1.56</v>
      </c>
      <c r="N19">
        <f t="shared" si="1"/>
        <v>639.6</v>
      </c>
      <c r="O19">
        <f>SmtRes!X44</f>
        <v>-498933305</v>
      </c>
      <c r="P19">
        <v>933539357</v>
      </c>
      <c r="Q19">
        <v>933539357</v>
      </c>
    </row>
    <row r="20" spans="1:17" ht="12.75">
      <c r="A20">
        <f>Source!A29</f>
        <v>17</v>
      </c>
      <c r="C20">
        <v>3</v>
      </c>
      <c r="D20">
        <v>0</v>
      </c>
      <c r="E20">
        <f>SmtRes!AV43</f>
        <v>0</v>
      </c>
      <c r="F20">
        <f>SmtRes!I43</f>
      </c>
      <c r="G20" t="str">
        <f>SmtRes!K43</f>
        <v>Дюбель</v>
      </c>
      <c r="H20" t="str">
        <f>SmtRes!O43</f>
        <v>ШТ</v>
      </c>
      <c r="I20">
        <f>SmtRes!Y43*Source!I29</f>
        <v>410</v>
      </c>
      <c r="J20">
        <f>SmtRes!AO43</f>
        <v>0</v>
      </c>
      <c r="K20">
        <f>SmtRes!AE43</f>
        <v>0.69</v>
      </c>
      <c r="L20">
        <f t="shared" si="0"/>
        <v>282.9</v>
      </c>
      <c r="M20">
        <f>SmtRes!AA43</f>
        <v>0.69</v>
      </c>
      <c r="N20">
        <f t="shared" si="1"/>
        <v>282.9</v>
      </c>
      <c r="O20">
        <f>SmtRes!X43</f>
        <v>991109161</v>
      </c>
      <c r="P20">
        <v>988805957</v>
      </c>
      <c r="Q20">
        <v>988805957</v>
      </c>
    </row>
    <row r="21" spans="1:17" ht="12.75">
      <c r="A21">
        <f>Source!A29</f>
        <v>17</v>
      </c>
      <c r="C21">
        <v>3</v>
      </c>
      <c r="D21">
        <v>0</v>
      </c>
      <c r="E21">
        <f>SmtRes!AV42</f>
        <v>0</v>
      </c>
      <c r="F21">
        <f>SmtRes!I42</f>
      </c>
      <c r="G21" t="str">
        <f>SmtRes!K42</f>
        <v>Кровельный крепёж</v>
      </c>
      <c r="H21" t="str">
        <f>SmtRes!O42</f>
        <v>ШТ</v>
      </c>
      <c r="I21">
        <f>SmtRes!Y42*Source!I29</f>
        <v>410</v>
      </c>
      <c r="J21">
        <f>SmtRes!AO42</f>
        <v>0</v>
      </c>
      <c r="K21">
        <f>SmtRes!AE42</f>
        <v>4.75</v>
      </c>
      <c r="L21">
        <f t="shared" si="0"/>
        <v>1947.5</v>
      </c>
      <c r="M21">
        <f>SmtRes!AA42</f>
        <v>4.75</v>
      </c>
      <c r="N21">
        <f t="shared" si="1"/>
        <v>1947.5</v>
      </c>
      <c r="O21">
        <f>SmtRes!X42</f>
        <v>1082805108</v>
      </c>
      <c r="P21">
        <v>1136289382</v>
      </c>
      <c r="Q21">
        <v>1136289382</v>
      </c>
    </row>
    <row r="22" spans="1:17" ht="12.75">
      <c r="A22">
        <f>Source!A30</f>
        <v>17</v>
      </c>
      <c r="C22">
        <v>3</v>
      </c>
      <c r="D22">
        <v>0</v>
      </c>
      <c r="E22">
        <f>SmtRes!AV54</f>
        <v>0</v>
      </c>
      <c r="F22" t="str">
        <f>SmtRes!I54</f>
        <v>104-0004</v>
      </c>
      <c r="G22" t="str">
        <f>SmtRes!K54</f>
        <v>Минплита Изоруф В 40 мм</v>
      </c>
      <c r="H22" t="str">
        <f>SmtRes!O54</f>
        <v>м3</v>
      </c>
      <c r="I22">
        <f>SmtRes!Y54*Source!I30</f>
        <v>13.5136</v>
      </c>
      <c r="J22">
        <f>SmtRes!AO54</f>
        <v>0</v>
      </c>
      <c r="K22">
        <f>SmtRes!AE54</f>
        <v>6544.07</v>
      </c>
      <c r="L22">
        <f t="shared" si="0"/>
        <v>88433.94435199999</v>
      </c>
      <c r="M22">
        <f>SmtRes!AA54</f>
        <v>6544.07</v>
      </c>
      <c r="N22">
        <f t="shared" si="1"/>
        <v>88433.94435199999</v>
      </c>
      <c r="O22">
        <f>SmtRes!X54</f>
        <v>1407745037</v>
      </c>
      <c r="P22">
        <v>760547883</v>
      </c>
      <c r="Q22">
        <v>760547883</v>
      </c>
    </row>
    <row r="23" spans="1:17" ht="12.75">
      <c r="A23">
        <f>Source!A30</f>
        <v>17</v>
      </c>
      <c r="C23">
        <v>3</v>
      </c>
      <c r="D23">
        <v>0</v>
      </c>
      <c r="E23">
        <f>SmtRes!AV53</f>
        <v>0</v>
      </c>
      <c r="F23">
        <f>SmtRes!I53</f>
      </c>
      <c r="G23" t="str">
        <f>SmtRes!K53</f>
        <v>Саморез</v>
      </c>
      <c r="H23" t="str">
        <f>SmtRes!O53</f>
        <v>ШТ</v>
      </c>
      <c r="I23">
        <f>SmtRes!Y53*Source!I30</f>
        <v>820</v>
      </c>
      <c r="J23">
        <f>SmtRes!AO53</f>
        <v>0</v>
      </c>
      <c r="K23">
        <f>SmtRes!AE53</f>
        <v>1.56</v>
      </c>
      <c r="L23">
        <f t="shared" si="0"/>
        <v>1279.2</v>
      </c>
      <c r="M23">
        <f>SmtRes!AA53</f>
        <v>1.56</v>
      </c>
      <c r="N23">
        <f t="shared" si="1"/>
        <v>1279.2</v>
      </c>
      <c r="O23">
        <f>SmtRes!X53</f>
        <v>-498933305</v>
      </c>
      <c r="P23">
        <v>933539357</v>
      </c>
      <c r="Q23">
        <v>933539357</v>
      </c>
    </row>
    <row r="24" spans="1:17" ht="12.75">
      <c r="A24">
        <f>Source!A30</f>
        <v>17</v>
      </c>
      <c r="C24">
        <v>3</v>
      </c>
      <c r="D24">
        <v>0</v>
      </c>
      <c r="E24">
        <f>SmtRes!AV52</f>
        <v>0</v>
      </c>
      <c r="F24">
        <f>SmtRes!I52</f>
      </c>
      <c r="G24" t="str">
        <f>SmtRes!K52</f>
        <v>Дюбель</v>
      </c>
      <c r="H24" t="str">
        <f>SmtRes!O52</f>
        <v>ШТ</v>
      </c>
      <c r="I24">
        <f>SmtRes!Y52*Source!I30</f>
        <v>820</v>
      </c>
      <c r="J24">
        <f>SmtRes!AO52</f>
        <v>0</v>
      </c>
      <c r="K24">
        <f>SmtRes!AE52</f>
        <v>0.69</v>
      </c>
      <c r="L24">
        <f t="shared" si="0"/>
        <v>565.8</v>
      </c>
      <c r="M24">
        <f>SmtRes!AA52</f>
        <v>0.69</v>
      </c>
      <c r="N24">
        <f t="shared" si="1"/>
        <v>565.8</v>
      </c>
      <c r="O24">
        <f>SmtRes!X52</f>
        <v>991109161</v>
      </c>
      <c r="P24">
        <v>988805957</v>
      </c>
      <c r="Q24">
        <v>988805957</v>
      </c>
    </row>
    <row r="25" spans="1:17" ht="12.75">
      <c r="A25">
        <f>Source!A30</f>
        <v>17</v>
      </c>
      <c r="C25">
        <v>3</v>
      </c>
      <c r="D25">
        <v>0</v>
      </c>
      <c r="E25">
        <f>SmtRes!AV51</f>
        <v>0</v>
      </c>
      <c r="F25">
        <f>SmtRes!I51</f>
      </c>
      <c r="G25" t="str">
        <f>SmtRes!K51</f>
        <v>Кровельный крепёж</v>
      </c>
      <c r="H25" t="str">
        <f>SmtRes!O51</f>
        <v>ШТ</v>
      </c>
      <c r="I25">
        <f>SmtRes!Y51*Source!I30</f>
        <v>820</v>
      </c>
      <c r="J25">
        <f>SmtRes!AO51</f>
        <v>0</v>
      </c>
      <c r="K25">
        <f>SmtRes!AE51</f>
        <v>4.75</v>
      </c>
      <c r="L25">
        <f t="shared" si="0"/>
        <v>3895</v>
      </c>
      <c r="M25">
        <f>SmtRes!AA51</f>
        <v>4.75</v>
      </c>
      <c r="N25">
        <f t="shared" si="1"/>
        <v>3895</v>
      </c>
      <c r="O25">
        <f>SmtRes!X51</f>
        <v>1082805108</v>
      </c>
      <c r="P25">
        <v>1136289382</v>
      </c>
      <c r="Q25">
        <v>1136289382</v>
      </c>
    </row>
    <row r="26" spans="1:17" ht="12.75">
      <c r="A26">
        <f>Source!A31</f>
        <v>17</v>
      </c>
      <c r="C26">
        <v>3</v>
      </c>
      <c r="D26">
        <v>0</v>
      </c>
      <c r="E26">
        <f>SmtRes!AV72</f>
        <v>0</v>
      </c>
      <c r="F26" t="str">
        <f>SmtRes!I72</f>
        <v>201-9002</v>
      </c>
      <c r="G26" t="str">
        <f>SmtRes!K72</f>
        <v>Уголок 32*32*4</v>
      </c>
      <c r="H26" t="str">
        <f>SmtRes!O72</f>
        <v>т</v>
      </c>
      <c r="I26">
        <f>SmtRes!Y72*Source!I31</f>
        <v>1.44</v>
      </c>
      <c r="J26">
        <f>SmtRes!AO72</f>
        <v>0</v>
      </c>
      <c r="K26">
        <f>SmtRes!AE72</f>
        <v>31779.66</v>
      </c>
      <c r="L26">
        <f t="shared" si="0"/>
        <v>45762.710399999996</v>
      </c>
      <c r="M26">
        <f>SmtRes!AA72</f>
        <v>31779.66</v>
      </c>
      <c r="N26">
        <f t="shared" si="1"/>
        <v>45762.710399999996</v>
      </c>
      <c r="O26">
        <f>SmtRes!X72</f>
        <v>-1748247338</v>
      </c>
      <c r="P26">
        <v>-277471956</v>
      </c>
      <c r="Q26">
        <v>-277471956</v>
      </c>
    </row>
    <row r="27" spans="1:17" ht="12.75">
      <c r="A27">
        <f>Source!A31</f>
        <v>17</v>
      </c>
      <c r="C27">
        <v>3</v>
      </c>
      <c r="D27">
        <v>0</v>
      </c>
      <c r="E27">
        <f>SmtRes!AV71</f>
        <v>0</v>
      </c>
      <c r="F27" t="str">
        <f>SmtRes!I71</f>
        <v>113-0021</v>
      </c>
      <c r="G27" t="str">
        <f>SmtRes!K71</f>
        <v>Грунтовка ГФ-021 красно-коричневая</v>
      </c>
      <c r="H27" t="str">
        <f>SmtRes!O71</f>
        <v>т</v>
      </c>
      <c r="I27">
        <f>SmtRes!Y71*Source!I31</f>
        <v>0.0004464</v>
      </c>
      <c r="J27">
        <f>SmtRes!AO71</f>
        <v>0</v>
      </c>
      <c r="K27">
        <f>SmtRes!AE71</f>
        <v>67779.66</v>
      </c>
      <c r="L27">
        <f t="shared" si="0"/>
        <v>30.256840224</v>
      </c>
      <c r="M27">
        <f>SmtRes!AA71</f>
        <v>67779.66</v>
      </c>
      <c r="N27">
        <f t="shared" si="1"/>
        <v>30.256840224</v>
      </c>
      <c r="O27">
        <f>SmtRes!X71</f>
        <v>-1426249434</v>
      </c>
      <c r="P27">
        <v>-485462817</v>
      </c>
      <c r="Q27">
        <v>-485462817</v>
      </c>
    </row>
    <row r="28" spans="1:17" ht="12.75">
      <c r="A28">
        <f>Source!A31</f>
        <v>17</v>
      </c>
      <c r="C28">
        <v>3</v>
      </c>
      <c r="D28">
        <v>0</v>
      </c>
      <c r="E28">
        <f>SmtRes!AV70</f>
        <v>0</v>
      </c>
      <c r="F28" t="str">
        <f>SmtRes!I70</f>
        <v>102-0023</v>
      </c>
      <c r="G28" t="str">
        <f>SmtRes!K70</f>
        <v>Бруски обрезные хвойных пород длиной 4-6,5 м, шириной 75-150 мм, толщиной 40-75 мм, I сорта</v>
      </c>
      <c r="H28" t="str">
        <f>SmtRes!O70</f>
        <v>м3</v>
      </c>
      <c r="I28">
        <f>SmtRes!Y70*Source!I31</f>
        <v>0.0014832</v>
      </c>
      <c r="J28">
        <f>SmtRes!AO70</f>
        <v>0</v>
      </c>
      <c r="K28">
        <f>SmtRes!AE70</f>
        <v>5762.71</v>
      </c>
      <c r="L28">
        <f t="shared" si="0"/>
        <v>8.547251472000001</v>
      </c>
      <c r="M28">
        <f>SmtRes!AA70</f>
        <v>5762.71</v>
      </c>
      <c r="N28">
        <f t="shared" si="1"/>
        <v>8.547251472000001</v>
      </c>
      <c r="O28">
        <f>SmtRes!X70</f>
        <v>-2017141488</v>
      </c>
      <c r="P28">
        <v>-1716790132</v>
      </c>
      <c r="Q28">
        <v>-1716790132</v>
      </c>
    </row>
    <row r="29" spans="1:17" ht="12.75">
      <c r="A29">
        <f>Source!A31</f>
        <v>17</v>
      </c>
      <c r="C29">
        <v>3</v>
      </c>
      <c r="D29">
        <v>0</v>
      </c>
      <c r="E29">
        <f>SmtRes!AV69</f>
        <v>0</v>
      </c>
      <c r="F29" t="str">
        <f>SmtRes!I69</f>
        <v>101-2467</v>
      </c>
      <c r="G29" t="str">
        <f>SmtRes!K69</f>
        <v>Растворитель марки Р-4</v>
      </c>
      <c r="H29" t="str">
        <f>SmtRes!O69</f>
        <v>т</v>
      </c>
      <c r="I29">
        <f>SmtRes!Y69*Source!I31</f>
        <v>0.0008639999999999999</v>
      </c>
      <c r="J29">
        <f>SmtRes!AO69</f>
        <v>0</v>
      </c>
      <c r="K29">
        <f>SmtRes!AE69</f>
        <v>132200</v>
      </c>
      <c r="L29">
        <f t="shared" si="0"/>
        <v>114.22079999999998</v>
      </c>
      <c r="M29">
        <f>SmtRes!AA69</f>
        <v>132200</v>
      </c>
      <c r="N29">
        <f t="shared" si="1"/>
        <v>114.22079999999998</v>
      </c>
      <c r="O29">
        <f>SmtRes!X69</f>
        <v>293395486</v>
      </c>
      <c r="P29">
        <v>1525141026</v>
      </c>
      <c r="Q29">
        <v>1525141026</v>
      </c>
    </row>
    <row r="30" spans="1:17" ht="12.75">
      <c r="A30">
        <f>Source!A31</f>
        <v>17</v>
      </c>
      <c r="C30">
        <v>3</v>
      </c>
      <c r="D30">
        <v>0</v>
      </c>
      <c r="E30">
        <f>SmtRes!AV68</f>
        <v>0</v>
      </c>
      <c r="F30" t="str">
        <f>SmtRes!I68</f>
        <v>101-2278</v>
      </c>
      <c r="G30" t="str">
        <f>SmtRes!K68</f>
        <v>Пропан-бутан, смесь техническая</v>
      </c>
      <c r="H30" t="str">
        <f>SmtRes!O68</f>
        <v>кг</v>
      </c>
      <c r="I30">
        <f>SmtRes!Y68*Source!I31</f>
        <v>0.5184</v>
      </c>
      <c r="J30">
        <f>SmtRes!AO68</f>
        <v>0</v>
      </c>
      <c r="K30">
        <f>SmtRes!AE68</f>
        <v>35</v>
      </c>
      <c r="L30">
        <f t="shared" si="0"/>
        <v>18.144</v>
      </c>
      <c r="M30">
        <f>SmtRes!AA68</f>
        <v>35</v>
      </c>
      <c r="N30">
        <f t="shared" si="1"/>
        <v>18.144</v>
      </c>
      <c r="O30">
        <f>SmtRes!X68</f>
        <v>1525406613</v>
      </c>
      <c r="P30">
        <v>-894429062</v>
      </c>
      <c r="Q30">
        <v>-894429062</v>
      </c>
    </row>
    <row r="31" spans="1:17" ht="12.75">
      <c r="A31">
        <f>Source!A31</f>
        <v>17</v>
      </c>
      <c r="C31">
        <v>3</v>
      </c>
      <c r="D31">
        <v>0</v>
      </c>
      <c r="E31">
        <f>SmtRes!AV67</f>
        <v>0</v>
      </c>
      <c r="F31" t="str">
        <f>SmtRes!I67</f>
        <v>101-1805</v>
      </c>
      <c r="G31" t="str">
        <f>SmtRes!K67</f>
        <v>Гвозди строительные</v>
      </c>
      <c r="H31" t="str">
        <f>SmtRes!O67</f>
        <v>т</v>
      </c>
      <c r="I31">
        <f>SmtRes!Y67*Source!I31</f>
        <v>1.4400000000000001E-05</v>
      </c>
      <c r="J31">
        <f>SmtRes!AO67</f>
        <v>0</v>
      </c>
      <c r="K31">
        <f>SmtRes!AE67</f>
        <v>65000</v>
      </c>
      <c r="L31">
        <f t="shared" si="0"/>
        <v>0.936</v>
      </c>
      <c r="M31">
        <f>SmtRes!AA67</f>
        <v>65000</v>
      </c>
      <c r="N31">
        <f t="shared" si="1"/>
        <v>0.936</v>
      </c>
      <c r="O31">
        <f>SmtRes!X67</f>
        <v>-421673074</v>
      </c>
      <c r="P31">
        <v>-1241865664</v>
      </c>
      <c r="Q31">
        <v>-1241865664</v>
      </c>
    </row>
    <row r="32" spans="1:17" ht="12.75">
      <c r="A32">
        <f>Source!A31</f>
        <v>17</v>
      </c>
      <c r="C32">
        <v>3</v>
      </c>
      <c r="D32">
        <v>0</v>
      </c>
      <c r="E32">
        <f>SmtRes!AV66</f>
        <v>0</v>
      </c>
      <c r="F32" t="str">
        <f>SmtRes!I66</f>
        <v>101-1714</v>
      </c>
      <c r="G32" t="str">
        <f>SmtRes!K66</f>
        <v>Болты с гайками и шайбами строительные</v>
      </c>
      <c r="H32" t="str">
        <f>SmtRes!O66</f>
        <v>т</v>
      </c>
      <c r="I32">
        <f>SmtRes!Y66*Source!I31</f>
        <v>0.03024</v>
      </c>
      <c r="J32">
        <f>SmtRes!AO66</f>
        <v>0</v>
      </c>
      <c r="K32">
        <f>SmtRes!AE66</f>
        <v>98305.08</v>
      </c>
      <c r="L32">
        <f t="shared" si="0"/>
        <v>2972.7456192</v>
      </c>
      <c r="M32">
        <f>SmtRes!AA66</f>
        <v>98305.08</v>
      </c>
      <c r="N32">
        <f t="shared" si="1"/>
        <v>2972.7456192</v>
      </c>
      <c r="O32">
        <f>SmtRes!X66</f>
        <v>-92979198</v>
      </c>
      <c r="P32">
        <v>-81566705</v>
      </c>
      <c r="Q32">
        <v>-81566705</v>
      </c>
    </row>
    <row r="33" spans="1:17" ht="12.75">
      <c r="A33">
        <f>Source!A31</f>
        <v>17</v>
      </c>
      <c r="C33">
        <v>3</v>
      </c>
      <c r="D33">
        <v>0</v>
      </c>
      <c r="E33">
        <f>SmtRes!AV65</f>
        <v>0</v>
      </c>
      <c r="F33" t="str">
        <f>SmtRes!I65</f>
        <v>101-1513</v>
      </c>
      <c r="G33" t="str">
        <f>SmtRes!K65</f>
        <v>Электроды диаметром 4 мм Э42</v>
      </c>
      <c r="H33" t="str">
        <f>SmtRes!O65</f>
        <v>т</v>
      </c>
      <c r="I33">
        <f>SmtRes!Y65*Source!I31</f>
        <v>0.0006336</v>
      </c>
      <c r="J33">
        <f>SmtRes!AO65</f>
        <v>0</v>
      </c>
      <c r="K33">
        <f>SmtRes!AE65</f>
        <v>73728.6</v>
      </c>
      <c r="L33">
        <f t="shared" si="0"/>
        <v>46.714440960000005</v>
      </c>
      <c r="M33">
        <f>SmtRes!AA65</f>
        <v>73728.6</v>
      </c>
      <c r="N33">
        <f t="shared" si="1"/>
        <v>46.714440960000005</v>
      </c>
      <c r="O33">
        <f>SmtRes!X65</f>
        <v>-1207479842</v>
      </c>
      <c r="P33">
        <v>923707930</v>
      </c>
      <c r="Q33">
        <v>923707930</v>
      </c>
    </row>
    <row r="34" spans="1:17" ht="12.75">
      <c r="A34">
        <f>Source!A31</f>
        <v>17</v>
      </c>
      <c r="C34">
        <v>3</v>
      </c>
      <c r="D34">
        <v>0</v>
      </c>
      <c r="E34">
        <f>SmtRes!AV64</f>
        <v>0</v>
      </c>
      <c r="F34" t="str">
        <f>SmtRes!I64</f>
        <v>101-0797</v>
      </c>
      <c r="G34" t="str">
        <f>SmtRes!K64</f>
        <v>Проволока горячекатаная в мотках, диаметром 6,3-6,5 мм</v>
      </c>
      <c r="H34" t="str">
        <f>SmtRes!O64</f>
        <v>т</v>
      </c>
      <c r="I34">
        <f>SmtRes!Y64*Source!I31</f>
        <v>4.32E-05</v>
      </c>
      <c r="J34">
        <f>SmtRes!AO64</f>
        <v>0</v>
      </c>
      <c r="K34">
        <f>SmtRes!AE64</f>
        <v>68136</v>
      </c>
      <c r="L34">
        <f t="shared" si="0"/>
        <v>2.9434752</v>
      </c>
      <c r="M34">
        <f>SmtRes!AA64</f>
        <v>68136</v>
      </c>
      <c r="N34">
        <f t="shared" si="1"/>
        <v>2.9434752</v>
      </c>
      <c r="O34">
        <f>SmtRes!X64</f>
        <v>1887229518</v>
      </c>
      <c r="P34">
        <v>-1045687378</v>
      </c>
      <c r="Q34">
        <v>-1045687378</v>
      </c>
    </row>
    <row r="35" spans="1:17" ht="12.75">
      <c r="A35">
        <f>Source!A31</f>
        <v>17</v>
      </c>
      <c r="C35">
        <v>3</v>
      </c>
      <c r="D35">
        <v>0</v>
      </c>
      <c r="E35">
        <f>SmtRes!AV63</f>
        <v>0</v>
      </c>
      <c r="F35" t="str">
        <f>SmtRes!I63</f>
        <v>101-0324</v>
      </c>
      <c r="G35" t="str">
        <f>SmtRes!K63</f>
        <v>Кислород технический газообразный</v>
      </c>
      <c r="H35" t="str">
        <f>SmtRes!O63</f>
        <v>м3</v>
      </c>
      <c r="I35">
        <f>SmtRes!Y63*Source!I31</f>
        <v>1.728</v>
      </c>
      <c r="J35">
        <f>SmtRes!AO63</f>
        <v>0</v>
      </c>
      <c r="K35">
        <f>SmtRes!AE63</f>
        <v>43</v>
      </c>
      <c r="L35">
        <f t="shared" si="0"/>
        <v>74.304</v>
      </c>
      <c r="M35">
        <f>SmtRes!AA63</f>
        <v>43</v>
      </c>
      <c r="N35">
        <f t="shared" si="1"/>
        <v>74.304</v>
      </c>
      <c r="O35">
        <f>SmtRes!X63</f>
        <v>1626293865</v>
      </c>
      <c r="P35">
        <v>-1234444586</v>
      </c>
      <c r="Q35">
        <v>-1234444586</v>
      </c>
    </row>
    <row r="36" spans="1:17" ht="12.75">
      <c r="A36">
        <f>Source!A32</f>
        <v>17</v>
      </c>
      <c r="C36">
        <v>3</v>
      </c>
      <c r="D36">
        <v>0</v>
      </c>
      <c r="E36">
        <f>SmtRes!AV79</f>
        <v>0</v>
      </c>
      <c r="F36" t="str">
        <f>SmtRes!I79</f>
        <v>203-0367</v>
      </c>
      <c r="G36" t="str">
        <f>SmtRes!K79</f>
        <v>Анкерный болт</v>
      </c>
      <c r="H36" t="str">
        <f>SmtRes!O79</f>
        <v>шт.</v>
      </c>
      <c r="I36">
        <f>SmtRes!Y79*Source!I32</f>
        <v>144.4</v>
      </c>
      <c r="J36">
        <f>SmtRes!AO79</f>
        <v>0</v>
      </c>
      <c r="K36">
        <f>SmtRes!AE79</f>
        <v>12</v>
      </c>
      <c r="L36">
        <f t="shared" si="0"/>
        <v>1732.8000000000002</v>
      </c>
      <c r="M36">
        <f>SmtRes!AA79</f>
        <v>12</v>
      </c>
      <c r="N36">
        <f t="shared" si="1"/>
        <v>1732.8000000000002</v>
      </c>
      <c r="O36">
        <f>SmtRes!X79</f>
        <v>-212290792</v>
      </c>
      <c r="P36">
        <v>691528774</v>
      </c>
      <c r="Q36">
        <v>691528774</v>
      </c>
    </row>
    <row r="37" spans="1:17" ht="12.75">
      <c r="A37">
        <f>Source!A32</f>
        <v>17</v>
      </c>
      <c r="C37">
        <v>3</v>
      </c>
      <c r="D37">
        <v>0</v>
      </c>
      <c r="E37">
        <f>SmtRes!AV78</f>
        <v>0</v>
      </c>
      <c r="F37" t="str">
        <f>SmtRes!I78</f>
        <v>102-0060</v>
      </c>
      <c r="G37" t="str">
        <f>SmtRes!K78</f>
        <v>Плита ОSВ</v>
      </c>
      <c r="H37" t="str">
        <f>SmtRes!O78</f>
        <v>м2</v>
      </c>
      <c r="I37">
        <f>SmtRes!Y78*Source!I32</f>
        <v>153.064</v>
      </c>
      <c r="J37">
        <f>SmtRes!AO78</f>
        <v>0</v>
      </c>
      <c r="K37">
        <f>SmtRes!AE78</f>
        <v>203.39</v>
      </c>
      <c r="L37">
        <f t="shared" si="0"/>
        <v>31131.686959999995</v>
      </c>
      <c r="M37">
        <f>SmtRes!AA78</f>
        <v>203.39</v>
      </c>
      <c r="N37">
        <f t="shared" si="1"/>
        <v>31131.686959999995</v>
      </c>
      <c r="O37">
        <f>SmtRes!X78</f>
        <v>-530353638</v>
      </c>
      <c r="P37">
        <v>1761276749</v>
      </c>
      <c r="Q37">
        <v>1761276749</v>
      </c>
    </row>
    <row r="38" spans="1:17" ht="12.75">
      <c r="A38">
        <f>Source!A32</f>
        <v>17</v>
      </c>
      <c r="C38">
        <v>3</v>
      </c>
      <c r="D38">
        <v>0</v>
      </c>
      <c r="E38">
        <f>SmtRes!AV77</f>
        <v>0</v>
      </c>
      <c r="F38" t="str">
        <f>SmtRes!I77</f>
        <v>102-0048</v>
      </c>
      <c r="G38" t="str">
        <f>SmtRes!K77</f>
        <v>Брус 50*50</v>
      </c>
      <c r="H38" t="str">
        <f>SmtRes!O77</f>
        <v>м3</v>
      </c>
      <c r="I38">
        <f>SmtRes!Y77*Source!I32</f>
        <v>2.166</v>
      </c>
      <c r="J38">
        <f>SmtRes!AO77</f>
        <v>0</v>
      </c>
      <c r="K38">
        <f>SmtRes!AE77</f>
        <v>5762.71</v>
      </c>
      <c r="L38">
        <f t="shared" si="0"/>
        <v>12482.02986</v>
      </c>
      <c r="M38">
        <f>SmtRes!AA77</f>
        <v>5762.71</v>
      </c>
      <c r="N38">
        <f t="shared" si="1"/>
        <v>12482.02986</v>
      </c>
      <c r="O38">
        <f>SmtRes!X77</f>
        <v>-48035653</v>
      </c>
      <c r="P38">
        <v>-200974332</v>
      </c>
      <c r="Q38">
        <v>-200974332</v>
      </c>
    </row>
    <row r="39" spans="1:17" ht="12.75">
      <c r="A39">
        <f>Source!A32</f>
        <v>17</v>
      </c>
      <c r="C39">
        <v>3</v>
      </c>
      <c r="D39">
        <v>0</v>
      </c>
      <c r="E39">
        <f>SmtRes!AV76</f>
        <v>0</v>
      </c>
      <c r="F39" t="str">
        <f>SmtRes!I76</f>
        <v>101-1805</v>
      </c>
      <c r="G39" t="str">
        <f>SmtRes!K76</f>
        <v>Гвозди строительные</v>
      </c>
      <c r="H39" t="str">
        <f>SmtRes!O76</f>
        <v>т</v>
      </c>
      <c r="I39">
        <f>SmtRes!Y76*Source!I32</f>
        <v>0.0051984</v>
      </c>
      <c r="J39">
        <f>SmtRes!AO76</f>
        <v>0</v>
      </c>
      <c r="K39">
        <f>SmtRes!AE76</f>
        <v>65000</v>
      </c>
      <c r="L39">
        <f t="shared" si="0"/>
        <v>337.89599999999996</v>
      </c>
      <c r="M39">
        <f>SmtRes!AA76</f>
        <v>65000</v>
      </c>
      <c r="N39">
        <f t="shared" si="1"/>
        <v>337.89599999999996</v>
      </c>
      <c r="O39">
        <f>SmtRes!X76</f>
        <v>175036287</v>
      </c>
      <c r="P39">
        <v>-873521821</v>
      </c>
      <c r="Q39">
        <v>-873521821</v>
      </c>
    </row>
    <row r="40" spans="1:17" ht="12.75">
      <c r="A40">
        <f>Source!A33</f>
        <v>17</v>
      </c>
      <c r="C40">
        <v>3</v>
      </c>
      <c r="D40">
        <v>0</v>
      </c>
      <c r="E40">
        <f>SmtRes!AV101</f>
        <v>0</v>
      </c>
      <c r="F40">
        <f>SmtRes!I101</f>
      </c>
      <c r="G40" t="str">
        <f>SmtRes!K101</f>
        <v>Ветошь</v>
      </c>
      <c r="H40">
        <f>SmtRes!O101</f>
        <v>0</v>
      </c>
      <c r="I40">
        <f>SmtRes!Y101*Source!I33</f>
        <v>23.55772029102668</v>
      </c>
      <c r="J40">
        <f>SmtRes!AO101</f>
        <v>0</v>
      </c>
      <c r="K40">
        <f>SmtRes!AE101</f>
        <v>52.32</v>
      </c>
      <c r="L40">
        <f t="shared" si="0"/>
        <v>1232.539925626516</v>
      </c>
      <c r="M40">
        <f>SmtRes!AA101</f>
        <v>52.32</v>
      </c>
      <c r="N40">
        <f t="shared" si="1"/>
        <v>1232.539925626516</v>
      </c>
      <c r="O40">
        <f>SmtRes!X101</f>
        <v>-1504253188</v>
      </c>
      <c r="P40">
        <v>81358912</v>
      </c>
      <c r="Q40">
        <v>81358912</v>
      </c>
    </row>
    <row r="41" spans="1:17" ht="12.75">
      <c r="A41">
        <f>Source!A33</f>
        <v>17</v>
      </c>
      <c r="C41">
        <v>3</v>
      </c>
      <c r="D41">
        <v>0</v>
      </c>
      <c r="E41">
        <f>SmtRes!AV100</f>
        <v>0</v>
      </c>
      <c r="F41">
        <f>SmtRes!I100</f>
      </c>
      <c r="G41" t="str">
        <f>SmtRes!K100</f>
        <v>Краевой герметик</v>
      </c>
      <c r="H41" t="str">
        <f>SmtRes!O100</f>
        <v>шт.</v>
      </c>
      <c r="I41">
        <f>SmtRes!Y100*Source!I33</f>
        <v>80.76</v>
      </c>
      <c r="J41">
        <f>SmtRes!AO100</f>
        <v>0</v>
      </c>
      <c r="K41">
        <f>SmtRes!AE100</f>
        <v>621.34</v>
      </c>
      <c r="L41">
        <f t="shared" si="0"/>
        <v>50179.4184</v>
      </c>
      <c r="M41">
        <f>SmtRes!AA100</f>
        <v>621.34</v>
      </c>
      <c r="N41">
        <f t="shared" si="1"/>
        <v>50179.4184</v>
      </c>
      <c r="O41">
        <f>SmtRes!X100</f>
        <v>-1560390879</v>
      </c>
      <c r="P41">
        <v>697700550</v>
      </c>
      <c r="Q41">
        <v>697700550</v>
      </c>
    </row>
    <row r="42" spans="1:17" ht="12.75">
      <c r="A42">
        <f>Source!A33</f>
        <v>17</v>
      </c>
      <c r="C42">
        <v>3</v>
      </c>
      <c r="D42">
        <v>0</v>
      </c>
      <c r="E42">
        <f>SmtRes!AV99</f>
        <v>0</v>
      </c>
      <c r="F42">
        <f>SmtRes!I99</f>
      </c>
      <c r="G42" t="str">
        <f>SmtRes!K99</f>
        <v>Шуруп кровельный 4,8*29</v>
      </c>
      <c r="H42" t="str">
        <f>SmtRes!O99</f>
        <v>шт.</v>
      </c>
      <c r="I42">
        <f>SmtRes!Y99*Source!I33</f>
        <v>1346</v>
      </c>
      <c r="J42">
        <f>SmtRes!AO99</f>
        <v>0</v>
      </c>
      <c r="K42">
        <f>SmtRes!AE99</f>
        <v>1.78</v>
      </c>
      <c r="L42">
        <f t="shared" si="0"/>
        <v>2395.88</v>
      </c>
      <c r="M42">
        <f>SmtRes!AA99</f>
        <v>1.78</v>
      </c>
      <c r="N42">
        <f t="shared" si="1"/>
        <v>2395.88</v>
      </c>
      <c r="O42">
        <f>SmtRes!X99</f>
        <v>827597763</v>
      </c>
      <c r="P42">
        <v>-917312507</v>
      </c>
      <c r="Q42">
        <v>-917312507</v>
      </c>
    </row>
    <row r="43" spans="1:17" ht="12.75">
      <c r="A43">
        <f>Source!A33</f>
        <v>17</v>
      </c>
      <c r="C43">
        <v>3</v>
      </c>
      <c r="D43">
        <v>0</v>
      </c>
      <c r="E43">
        <f>SmtRes!AV98</f>
        <v>0</v>
      </c>
      <c r="F43">
        <f>SmtRes!I98</f>
      </c>
      <c r="G43" t="str">
        <f>SmtRes!K98</f>
        <v>Краевая полоса</v>
      </c>
      <c r="H43" t="str">
        <f>SmtRes!O98</f>
        <v>м</v>
      </c>
      <c r="I43">
        <f>SmtRes!Y98*Source!I33</f>
        <v>378.84586364861224</v>
      </c>
      <c r="J43">
        <f>SmtRes!AO98</f>
        <v>0</v>
      </c>
      <c r="K43">
        <f>SmtRes!AE98</f>
        <v>166.4</v>
      </c>
      <c r="L43">
        <f t="shared" si="0"/>
        <v>63039.95171112908</v>
      </c>
      <c r="M43">
        <f>SmtRes!AA98</f>
        <v>166.4</v>
      </c>
      <c r="N43">
        <f t="shared" si="1"/>
        <v>63039.95171112908</v>
      </c>
      <c r="O43">
        <f>SmtRes!X98</f>
        <v>-1575911984</v>
      </c>
      <c r="P43">
        <v>-979024299</v>
      </c>
      <c r="Q43">
        <v>-979024299</v>
      </c>
    </row>
    <row r="44" spans="1:17" ht="12.75">
      <c r="A44">
        <f>Source!A33</f>
        <v>17</v>
      </c>
      <c r="C44">
        <v>3</v>
      </c>
      <c r="D44">
        <v>0</v>
      </c>
      <c r="E44">
        <f>SmtRes!AV97</f>
        <v>0</v>
      </c>
      <c r="F44">
        <f>SmtRes!I97</f>
      </c>
      <c r="G44" t="str">
        <f>SmtRes!K97</f>
        <v>Монтажный клей</v>
      </c>
      <c r="H44" t="str">
        <f>SmtRes!O97</f>
        <v>л</v>
      </c>
      <c r="I44">
        <f>SmtRes!Y97*Source!I33</f>
        <v>1017.576</v>
      </c>
      <c r="J44">
        <f>SmtRes!AO97</f>
        <v>0</v>
      </c>
      <c r="K44">
        <f>SmtRes!AE97</f>
        <v>516.94</v>
      </c>
      <c r="L44">
        <f t="shared" si="0"/>
        <v>526025.73744</v>
      </c>
      <c r="M44">
        <f>SmtRes!AA97</f>
        <v>516.94</v>
      </c>
      <c r="N44">
        <f t="shared" si="1"/>
        <v>526025.73744</v>
      </c>
      <c r="O44">
        <f>SmtRes!X97</f>
        <v>53170732</v>
      </c>
      <c r="P44">
        <v>244006434</v>
      </c>
      <c r="Q44">
        <v>244006434</v>
      </c>
    </row>
    <row r="45" spans="1:17" ht="12.75">
      <c r="A45">
        <f>Source!A33</f>
        <v>17</v>
      </c>
      <c r="C45">
        <v>3</v>
      </c>
      <c r="D45">
        <v>0</v>
      </c>
      <c r="E45">
        <f>SmtRes!AV96</f>
        <v>0</v>
      </c>
      <c r="F45">
        <f>SmtRes!I96</f>
      </c>
      <c r="G45" t="str">
        <f>SmtRes!K96</f>
        <v>Праймер</v>
      </c>
      <c r="H45" t="str">
        <f>SmtRes!O96</f>
        <v>л</v>
      </c>
      <c r="I45">
        <f>SmtRes!Y96*Source!I33</f>
        <v>111.045</v>
      </c>
      <c r="J45">
        <f>SmtRes!AO96</f>
        <v>0</v>
      </c>
      <c r="K45">
        <f>SmtRes!AE96</f>
        <v>605.35</v>
      </c>
      <c r="L45">
        <f t="shared" si="0"/>
        <v>67221.09075</v>
      </c>
      <c r="M45">
        <f>SmtRes!AA96</f>
        <v>605.35</v>
      </c>
      <c r="N45">
        <f t="shared" si="1"/>
        <v>67221.09075</v>
      </c>
      <c r="O45">
        <f>SmtRes!X96</f>
        <v>211942243</v>
      </c>
      <c r="P45">
        <v>1435370899</v>
      </c>
      <c r="Q45">
        <v>1435370899</v>
      </c>
    </row>
    <row r="46" spans="1:17" ht="12.75">
      <c r="A46">
        <f>Source!A33</f>
        <v>17</v>
      </c>
      <c r="C46">
        <v>3</v>
      </c>
      <c r="D46">
        <v>0</v>
      </c>
      <c r="E46">
        <f>SmtRes!AV95</f>
        <v>0</v>
      </c>
      <c r="F46">
        <f>SmtRes!I95</f>
      </c>
      <c r="G46" t="str">
        <f>SmtRes!K95</f>
        <v>Очиститель</v>
      </c>
      <c r="H46" t="str">
        <f>SmtRes!O95</f>
        <v>л</v>
      </c>
      <c r="I46">
        <f>SmtRes!Y95*Source!I33</f>
        <v>4.2399000000000004</v>
      </c>
      <c r="J46">
        <f>SmtRes!AO95</f>
        <v>0</v>
      </c>
      <c r="K46">
        <f>SmtRes!AE95</f>
        <v>406.5</v>
      </c>
      <c r="L46">
        <f t="shared" si="0"/>
        <v>1723.5193500000003</v>
      </c>
      <c r="M46">
        <f>SmtRes!AA95</f>
        <v>406.5</v>
      </c>
      <c r="N46">
        <f t="shared" si="1"/>
        <v>1723.5193500000003</v>
      </c>
      <c r="O46">
        <f>SmtRes!X95</f>
        <v>-296189421</v>
      </c>
      <c r="P46">
        <v>-603610923</v>
      </c>
      <c r="Q46">
        <v>-603610923</v>
      </c>
    </row>
    <row r="47" spans="1:17" ht="12.75">
      <c r="A47">
        <f>Source!A33</f>
        <v>17</v>
      </c>
      <c r="C47">
        <v>3</v>
      </c>
      <c r="D47">
        <v>0</v>
      </c>
      <c r="E47">
        <f>SmtRes!AV94</f>
        <v>0</v>
      </c>
      <c r="F47">
        <f>SmtRes!I94</f>
      </c>
      <c r="G47" t="str">
        <f>SmtRes!K94</f>
        <v>Дюбель гвоздь потай 8*160</v>
      </c>
      <c r="H47" t="str">
        <f>SmtRes!O94</f>
        <v>шт.</v>
      </c>
      <c r="I47">
        <f>SmtRes!Y94*Source!I33</f>
        <v>2254.5772029102673</v>
      </c>
      <c r="J47">
        <f>SmtRes!AO94</f>
        <v>0</v>
      </c>
      <c r="K47">
        <f>SmtRes!AE94</f>
        <v>13.39</v>
      </c>
      <c r="L47">
        <f t="shared" si="0"/>
        <v>30188.78874696848</v>
      </c>
      <c r="M47">
        <f>SmtRes!AA94</f>
        <v>13.39</v>
      </c>
      <c r="N47">
        <f t="shared" si="1"/>
        <v>30188.78874696848</v>
      </c>
      <c r="O47">
        <f>SmtRes!X94</f>
        <v>1752140939</v>
      </c>
      <c r="P47">
        <v>710364638</v>
      </c>
      <c r="Q47">
        <v>710364638</v>
      </c>
    </row>
    <row r="48" spans="1:17" ht="12.75">
      <c r="A48">
        <f>Source!A33</f>
        <v>17</v>
      </c>
      <c r="C48">
        <v>3</v>
      </c>
      <c r="D48">
        <v>0</v>
      </c>
      <c r="E48">
        <f>SmtRes!AV93</f>
        <v>0</v>
      </c>
      <c r="F48">
        <f>SmtRes!I93</f>
      </c>
      <c r="G48" t="str">
        <f>SmtRes!K93</f>
        <v>Рейка металлическая</v>
      </c>
      <c r="H48" t="str">
        <f>SmtRes!O93</f>
        <v>м</v>
      </c>
      <c r="I48">
        <f>SmtRes!Y93*Source!I33</f>
        <v>450.91</v>
      </c>
      <c r="J48">
        <f>SmtRes!AO93</f>
        <v>0</v>
      </c>
      <c r="K48">
        <f>SmtRes!AE93</f>
        <v>206.45</v>
      </c>
      <c r="L48">
        <f t="shared" si="0"/>
        <v>93090.3695</v>
      </c>
      <c r="M48">
        <f>SmtRes!AA93</f>
        <v>206.45</v>
      </c>
      <c r="N48">
        <f t="shared" si="1"/>
        <v>93090.3695</v>
      </c>
      <c r="O48">
        <f>SmtRes!X93</f>
        <v>1136113889</v>
      </c>
      <c r="P48">
        <v>-287304068</v>
      </c>
      <c r="Q48">
        <v>-287304068</v>
      </c>
    </row>
    <row r="49" spans="1:17" ht="12.75">
      <c r="A49">
        <f>Source!A33</f>
        <v>17</v>
      </c>
      <c r="C49">
        <v>3</v>
      </c>
      <c r="D49">
        <v>0</v>
      </c>
      <c r="E49">
        <f>SmtRes!AV92</f>
        <v>0</v>
      </c>
      <c r="F49">
        <f>SmtRes!I92</f>
      </c>
      <c r="G49" t="str">
        <f>SmtRes!K92</f>
        <v>Полоса из невулканизированной резины</v>
      </c>
      <c r="H49" t="str">
        <f>SmtRes!O92</f>
        <v>м</v>
      </c>
      <c r="I49">
        <f>SmtRes!Y92*Source!I33</f>
        <v>901.82</v>
      </c>
      <c r="J49">
        <f>SmtRes!AO92</f>
        <v>0</v>
      </c>
      <c r="K49">
        <f>SmtRes!AE92</f>
        <v>262.19</v>
      </c>
      <c r="L49">
        <f t="shared" si="0"/>
        <v>236448.1858</v>
      </c>
      <c r="M49">
        <f>SmtRes!AA92</f>
        <v>262.19</v>
      </c>
      <c r="N49">
        <f t="shared" si="1"/>
        <v>236448.1858</v>
      </c>
      <c r="O49">
        <f>SmtRes!X92</f>
        <v>474696370</v>
      </c>
      <c r="P49">
        <v>-1635408250</v>
      </c>
      <c r="Q49">
        <v>-1635408250</v>
      </c>
    </row>
    <row r="50" spans="1:17" ht="12.75">
      <c r="A50">
        <f>Source!A33</f>
        <v>17</v>
      </c>
      <c r="C50">
        <v>3</v>
      </c>
      <c r="D50">
        <v>0</v>
      </c>
      <c r="E50">
        <f>SmtRes!AV91</f>
        <v>0</v>
      </c>
      <c r="F50">
        <f>SmtRes!I91</f>
      </c>
      <c r="G50" t="str">
        <f>SmtRes!K91</f>
        <v>ЭПДМ формфлэш</v>
      </c>
      <c r="H50" t="str">
        <f>SmtRes!O91</f>
        <v>м</v>
      </c>
      <c r="I50">
        <f>SmtRes!Y91*Source!I33</f>
        <v>41.3222</v>
      </c>
      <c r="J50">
        <f>SmtRes!AO91</f>
        <v>0</v>
      </c>
      <c r="K50">
        <f>SmtRes!AE91</f>
        <v>666.32</v>
      </c>
      <c r="L50">
        <f t="shared" si="0"/>
        <v>27533.808304000002</v>
      </c>
      <c r="M50">
        <f>SmtRes!AA91</f>
        <v>666.32</v>
      </c>
      <c r="N50">
        <f t="shared" si="1"/>
        <v>27533.808304000002</v>
      </c>
      <c r="O50">
        <f>SmtRes!X91</f>
        <v>102623550</v>
      </c>
      <c r="P50">
        <v>1927228836</v>
      </c>
      <c r="Q50">
        <v>1927228836</v>
      </c>
    </row>
    <row r="51" spans="1:17" ht="12.75">
      <c r="A51">
        <f>Source!A33</f>
        <v>17</v>
      </c>
      <c r="C51">
        <v>3</v>
      </c>
      <c r="D51">
        <v>0</v>
      </c>
      <c r="E51">
        <f>SmtRes!AV90</f>
        <v>0</v>
      </c>
      <c r="F51">
        <f>SmtRes!I90</f>
      </c>
      <c r="G51" t="str">
        <f>SmtRes!K90</f>
        <v>Мембрана ЭПДМ</v>
      </c>
      <c r="H51" t="str">
        <f>SmtRes!O90</f>
        <v>м2</v>
      </c>
      <c r="I51">
        <f>SmtRes!Y90*Source!I33</f>
        <v>861.44</v>
      </c>
      <c r="J51">
        <f>SmtRes!AO90</f>
        <v>0</v>
      </c>
      <c r="K51">
        <f>SmtRes!AE90</f>
        <v>458.14</v>
      </c>
      <c r="L51">
        <f t="shared" si="0"/>
        <v>394660.1216</v>
      </c>
      <c r="M51">
        <f>SmtRes!AA90</f>
        <v>458.14</v>
      </c>
      <c r="N51">
        <f t="shared" si="1"/>
        <v>394660.1216</v>
      </c>
      <c r="O51">
        <f>SmtRes!X90</f>
        <v>-1324732692</v>
      </c>
      <c r="P51">
        <v>1620700903</v>
      </c>
      <c r="Q51">
        <v>1620700903</v>
      </c>
    </row>
    <row r="52" spans="1:17" ht="12.75">
      <c r="A52">
        <f>Source!A34</f>
        <v>17</v>
      </c>
      <c r="C52">
        <v>3</v>
      </c>
      <c r="D52">
        <v>0</v>
      </c>
      <c r="E52">
        <f>SmtRes!AV106</f>
        <v>0</v>
      </c>
      <c r="F52" t="str">
        <f>SmtRes!I106</f>
        <v>101-1875</v>
      </c>
      <c r="G52" t="str">
        <f>SmtRes!K106</f>
        <v>Сталь листовая оцинкованная</v>
      </c>
      <c r="H52" t="str">
        <f>SmtRes!O106</f>
        <v>т</v>
      </c>
      <c r="I52">
        <f>SmtRes!Y106*Source!I34</f>
        <v>0.530964</v>
      </c>
      <c r="J52">
        <f>SmtRes!AO106</f>
        <v>0</v>
      </c>
      <c r="K52">
        <f>SmtRes!AE106</f>
        <v>47457.6</v>
      </c>
      <c r="L52">
        <f t="shared" si="0"/>
        <v>25198.2771264</v>
      </c>
      <c r="M52">
        <f>SmtRes!AA106</f>
        <v>47457.6</v>
      </c>
      <c r="N52">
        <f t="shared" si="1"/>
        <v>25198.2771264</v>
      </c>
      <c r="O52">
        <f>SmtRes!X106</f>
        <v>-1114137737</v>
      </c>
      <c r="P52">
        <v>-1879407804</v>
      </c>
      <c r="Q52">
        <v>-1879407804</v>
      </c>
    </row>
    <row r="53" spans="1:17" ht="12.75">
      <c r="A53">
        <f>Source!A34</f>
        <v>17</v>
      </c>
      <c r="C53">
        <v>3</v>
      </c>
      <c r="D53">
        <v>0</v>
      </c>
      <c r="E53">
        <f>SmtRes!AV105</f>
        <v>0</v>
      </c>
      <c r="F53" t="str">
        <f>SmtRes!I105</f>
        <v>101-0782</v>
      </c>
      <c r="G53" t="str">
        <f>SmtRes!K105</f>
        <v>Анкер-клин</v>
      </c>
      <c r="H53" t="str">
        <f>SmtRes!O105</f>
        <v>шт.</v>
      </c>
      <c r="I53">
        <f>SmtRes!Y105*Source!I34</f>
        <v>541.8000000000001</v>
      </c>
      <c r="J53">
        <f>SmtRes!AO105</f>
        <v>0</v>
      </c>
      <c r="K53">
        <f>SmtRes!AE105</f>
        <v>3.88</v>
      </c>
      <c r="L53">
        <f t="shared" si="0"/>
        <v>2102.184</v>
      </c>
      <c r="M53">
        <f>SmtRes!AA105</f>
        <v>3.88</v>
      </c>
      <c r="N53">
        <f t="shared" si="1"/>
        <v>2102.184</v>
      </c>
      <c r="O53">
        <f>SmtRes!X105</f>
        <v>-1083236896</v>
      </c>
      <c r="P53">
        <v>-1633518536</v>
      </c>
      <c r="Q53">
        <v>-1633518536</v>
      </c>
    </row>
    <row r="54" spans="1:7" ht="12.75">
      <c r="A54">
        <f>Source!A74</f>
        <v>3</v>
      </c>
      <c r="B54">
        <v>74</v>
      </c>
      <c r="G54" t="str">
        <f>Source!G74</f>
        <v>Ремонт кровли корпуса №20 в осях  (1-9) (Г-Ж)</v>
      </c>
    </row>
    <row r="55" spans="1:17" ht="12.75">
      <c r="A55">
        <f>Source!A79</f>
        <v>17</v>
      </c>
      <c r="C55">
        <v>3</v>
      </c>
      <c r="D55">
        <v>0</v>
      </c>
      <c r="E55">
        <f>SmtRes!AV118</f>
        <v>0</v>
      </c>
      <c r="F55" t="str">
        <f>SmtRes!I118</f>
        <v>203-0367</v>
      </c>
      <c r="G55" t="str">
        <f>SmtRes!K118</f>
        <v>Анкерный болт</v>
      </c>
      <c r="H55" t="str">
        <f>SmtRes!O118</f>
        <v>шт.</v>
      </c>
      <c r="I55">
        <f>SmtRes!Y118*Source!I79</f>
        <v>93.60000000000001</v>
      </c>
      <c r="J55">
        <f>SmtRes!AO118</f>
        <v>0</v>
      </c>
      <c r="K55">
        <f>SmtRes!AE118</f>
        <v>12</v>
      </c>
      <c r="L55">
        <f aca="true" t="shared" si="2" ref="L55:L75">I55*K55</f>
        <v>1123.2</v>
      </c>
      <c r="M55">
        <f>SmtRes!AA118</f>
        <v>12</v>
      </c>
      <c r="N55">
        <f aca="true" t="shared" si="3" ref="N55:N75">I55*M55</f>
        <v>1123.2</v>
      </c>
      <c r="O55">
        <f>SmtRes!X118</f>
        <v>-212290792</v>
      </c>
      <c r="P55">
        <v>691528774</v>
      </c>
      <c r="Q55">
        <v>691528774</v>
      </c>
    </row>
    <row r="56" spans="1:17" ht="12.75">
      <c r="A56">
        <f>Source!A79</f>
        <v>17</v>
      </c>
      <c r="C56">
        <v>3</v>
      </c>
      <c r="D56">
        <v>0</v>
      </c>
      <c r="E56">
        <f>SmtRes!AV117</f>
        <v>0</v>
      </c>
      <c r="F56" t="str">
        <f>SmtRes!I117</f>
        <v>102-0060</v>
      </c>
      <c r="G56" t="str">
        <f>SmtRes!K117</f>
        <v>Плита ОSВ</v>
      </c>
      <c r="H56" t="str">
        <f>SmtRes!O117</f>
        <v>м2</v>
      </c>
      <c r="I56">
        <f>SmtRes!Y117*Source!I79</f>
        <v>99.21600000000001</v>
      </c>
      <c r="J56">
        <f>SmtRes!AO117</f>
        <v>0</v>
      </c>
      <c r="K56">
        <f>SmtRes!AE117</f>
        <v>203.39</v>
      </c>
      <c r="L56">
        <f t="shared" si="2"/>
        <v>20179.54224</v>
      </c>
      <c r="M56">
        <f>SmtRes!AA117</f>
        <v>203.39</v>
      </c>
      <c r="N56">
        <f t="shared" si="3"/>
        <v>20179.54224</v>
      </c>
      <c r="O56">
        <f>SmtRes!X117</f>
        <v>-530353638</v>
      </c>
      <c r="P56">
        <v>1761276749</v>
      </c>
      <c r="Q56">
        <v>1761276749</v>
      </c>
    </row>
    <row r="57" spans="1:17" ht="12.75">
      <c r="A57">
        <f>Source!A79</f>
        <v>17</v>
      </c>
      <c r="C57">
        <v>3</v>
      </c>
      <c r="D57">
        <v>0</v>
      </c>
      <c r="E57">
        <f>SmtRes!AV116</f>
        <v>0</v>
      </c>
      <c r="F57" t="str">
        <f>SmtRes!I116</f>
        <v>102-0048</v>
      </c>
      <c r="G57" t="str">
        <f>SmtRes!K116</f>
        <v>Брус 50*50</v>
      </c>
      <c r="H57" t="str">
        <f>SmtRes!O116</f>
        <v>м3</v>
      </c>
      <c r="I57">
        <f>SmtRes!Y116*Source!I79</f>
        <v>1.4040000000000001</v>
      </c>
      <c r="J57">
        <f>SmtRes!AO116</f>
        <v>0</v>
      </c>
      <c r="K57">
        <f>SmtRes!AE116</f>
        <v>5762.71</v>
      </c>
      <c r="L57">
        <f t="shared" si="2"/>
        <v>8090.844840000001</v>
      </c>
      <c r="M57">
        <f>SmtRes!AA116</f>
        <v>5762.71</v>
      </c>
      <c r="N57">
        <f t="shared" si="3"/>
        <v>8090.844840000001</v>
      </c>
      <c r="O57">
        <f>SmtRes!X116</f>
        <v>-48035653</v>
      </c>
      <c r="P57">
        <v>-200974332</v>
      </c>
      <c r="Q57">
        <v>-200974332</v>
      </c>
    </row>
    <row r="58" spans="1:17" ht="12.75">
      <c r="A58">
        <f>Source!A79</f>
        <v>17</v>
      </c>
      <c r="C58">
        <v>3</v>
      </c>
      <c r="D58">
        <v>0</v>
      </c>
      <c r="E58">
        <f>SmtRes!AV115</f>
        <v>0</v>
      </c>
      <c r="F58" t="str">
        <f>SmtRes!I115</f>
        <v>101-1805</v>
      </c>
      <c r="G58" t="str">
        <f>SmtRes!K115</f>
        <v>Гвозди строительные</v>
      </c>
      <c r="H58" t="str">
        <f>SmtRes!O115</f>
        <v>т</v>
      </c>
      <c r="I58">
        <f>SmtRes!Y115*Source!I79</f>
        <v>0.0033696</v>
      </c>
      <c r="J58">
        <f>SmtRes!AO115</f>
        <v>0</v>
      </c>
      <c r="K58">
        <f>SmtRes!AE115</f>
        <v>65000</v>
      </c>
      <c r="L58">
        <f t="shared" si="2"/>
        <v>219.024</v>
      </c>
      <c r="M58">
        <f>SmtRes!AA115</f>
        <v>65000</v>
      </c>
      <c r="N58">
        <f t="shared" si="3"/>
        <v>219.024</v>
      </c>
      <c r="O58">
        <f>SmtRes!X115</f>
        <v>175036287</v>
      </c>
      <c r="P58">
        <v>-873521821</v>
      </c>
      <c r="Q58">
        <v>-873521821</v>
      </c>
    </row>
    <row r="59" spans="1:17" ht="12.75">
      <c r="A59">
        <f>Source!A81</f>
        <v>17</v>
      </c>
      <c r="C59">
        <v>3</v>
      </c>
      <c r="D59">
        <v>0</v>
      </c>
      <c r="E59">
        <f>SmtRes!AV123</f>
        <v>0</v>
      </c>
      <c r="F59" t="str">
        <f>SmtRes!I123</f>
        <v>301-3302</v>
      </c>
      <c r="G59" t="str">
        <f>SmtRes!K123</f>
        <v>Воронка водосточная</v>
      </c>
      <c r="H59" t="str">
        <f>SmtRes!O123</f>
        <v>шт.</v>
      </c>
      <c r="I59">
        <f>SmtRes!Y123*Source!I81</f>
        <v>4</v>
      </c>
      <c r="J59">
        <f>SmtRes!AO123</f>
        <v>0</v>
      </c>
      <c r="K59">
        <f>SmtRes!AE123</f>
        <v>2457.63</v>
      </c>
      <c r="L59">
        <f t="shared" si="2"/>
        <v>9830.52</v>
      </c>
      <c r="M59">
        <f>SmtRes!AA123</f>
        <v>2457.63</v>
      </c>
      <c r="N59">
        <f t="shared" si="3"/>
        <v>9830.52</v>
      </c>
      <c r="O59">
        <f>SmtRes!X123</f>
        <v>-1170692623</v>
      </c>
      <c r="P59">
        <v>-442776700</v>
      </c>
      <c r="Q59">
        <v>-442776700</v>
      </c>
    </row>
    <row r="60" spans="1:17" ht="12.75">
      <c r="A60">
        <f>Source!A82</f>
        <v>17</v>
      </c>
      <c r="C60">
        <v>3</v>
      </c>
      <c r="D60">
        <v>0</v>
      </c>
      <c r="E60">
        <f>SmtRes!AV145</f>
        <v>0</v>
      </c>
      <c r="F60">
        <f>SmtRes!I145</f>
      </c>
      <c r="G60" t="str">
        <f>SmtRes!K145</f>
        <v>Ветошь</v>
      </c>
      <c r="H60">
        <f>SmtRes!O145</f>
        <v>0</v>
      </c>
      <c r="I60">
        <f>SmtRes!Y145*Source!I82</f>
        <v>93.39078415521423</v>
      </c>
      <c r="J60">
        <f>SmtRes!AO145</f>
        <v>0</v>
      </c>
      <c r="K60">
        <f>SmtRes!AE145</f>
        <v>52.32</v>
      </c>
      <c r="L60">
        <f t="shared" si="2"/>
        <v>4886.205827000809</v>
      </c>
      <c r="M60">
        <f>SmtRes!AA145</f>
        <v>52.32</v>
      </c>
      <c r="N60">
        <f t="shared" si="3"/>
        <v>4886.205827000809</v>
      </c>
      <c r="O60">
        <f>SmtRes!X145</f>
        <v>-1504253188</v>
      </c>
      <c r="P60">
        <v>81358912</v>
      </c>
      <c r="Q60">
        <v>81358912</v>
      </c>
    </row>
    <row r="61" spans="1:17" ht="12.75">
      <c r="A61">
        <f>Source!A82</f>
        <v>17</v>
      </c>
      <c r="C61">
        <v>3</v>
      </c>
      <c r="D61">
        <v>0</v>
      </c>
      <c r="E61">
        <f>SmtRes!AV144</f>
        <v>0</v>
      </c>
      <c r="F61">
        <f>SmtRes!I144</f>
      </c>
      <c r="G61" t="str">
        <f>SmtRes!K144</f>
        <v>Краевой герметик</v>
      </c>
      <c r="H61" t="str">
        <f>SmtRes!O144</f>
        <v>шт.</v>
      </c>
      <c r="I61">
        <f>SmtRes!Y144*Source!I82</f>
        <v>320.15999999999997</v>
      </c>
      <c r="J61">
        <f>SmtRes!AO144</f>
        <v>0</v>
      </c>
      <c r="K61">
        <f>SmtRes!AE144</f>
        <v>621.34</v>
      </c>
      <c r="L61">
        <f t="shared" si="2"/>
        <v>198928.2144</v>
      </c>
      <c r="M61">
        <f>SmtRes!AA144</f>
        <v>621.34</v>
      </c>
      <c r="N61">
        <f t="shared" si="3"/>
        <v>198928.2144</v>
      </c>
      <c r="O61">
        <f>SmtRes!X144</f>
        <v>-1560390879</v>
      </c>
      <c r="P61">
        <v>697700550</v>
      </c>
      <c r="Q61">
        <v>697700550</v>
      </c>
    </row>
    <row r="62" spans="1:17" ht="12.75">
      <c r="A62">
        <f>Source!A82</f>
        <v>17</v>
      </c>
      <c r="C62">
        <v>3</v>
      </c>
      <c r="D62">
        <v>0</v>
      </c>
      <c r="E62">
        <f>SmtRes!AV143</f>
        <v>0</v>
      </c>
      <c r="F62">
        <f>SmtRes!I143</f>
      </c>
      <c r="G62" t="str">
        <f>SmtRes!K143</f>
        <v>Шуруп кровельный 4,8*29</v>
      </c>
      <c r="H62" t="str">
        <f>SmtRes!O143</f>
        <v>шт.</v>
      </c>
      <c r="I62">
        <f>SmtRes!Y143*Source!I82</f>
        <v>5336</v>
      </c>
      <c r="J62">
        <f>SmtRes!AO143</f>
        <v>0</v>
      </c>
      <c r="K62">
        <f>SmtRes!AE143</f>
        <v>1.78</v>
      </c>
      <c r="L62">
        <f t="shared" si="2"/>
        <v>9498.08</v>
      </c>
      <c r="M62">
        <f>SmtRes!AA143</f>
        <v>1.78</v>
      </c>
      <c r="N62">
        <f t="shared" si="3"/>
        <v>9498.08</v>
      </c>
      <c r="O62">
        <f>SmtRes!X143</f>
        <v>827597763</v>
      </c>
      <c r="P62">
        <v>-917312507</v>
      </c>
      <c r="Q62">
        <v>-917312507</v>
      </c>
    </row>
    <row r="63" spans="1:17" ht="12.75">
      <c r="A63">
        <f>Source!A82</f>
        <v>17</v>
      </c>
      <c r="C63">
        <v>3</v>
      </c>
      <c r="D63">
        <v>0</v>
      </c>
      <c r="E63">
        <f>SmtRes!AV142</f>
        <v>0</v>
      </c>
      <c r="F63">
        <f>SmtRes!I142</f>
      </c>
      <c r="G63" t="str">
        <f>SmtRes!K142</f>
        <v>Краевая полоса</v>
      </c>
      <c r="H63" t="str">
        <f>SmtRes!O142</f>
        <v>м</v>
      </c>
      <c r="I63">
        <f>SmtRes!Y142*Source!I82</f>
        <v>1501.873349501482</v>
      </c>
      <c r="J63">
        <f>SmtRes!AO142</f>
        <v>0</v>
      </c>
      <c r="K63">
        <f>SmtRes!AE142</f>
        <v>166.4</v>
      </c>
      <c r="L63">
        <f t="shared" si="2"/>
        <v>249911.7253570466</v>
      </c>
      <c r="M63">
        <f>SmtRes!AA142</f>
        <v>166.4</v>
      </c>
      <c r="N63">
        <f t="shared" si="3"/>
        <v>249911.7253570466</v>
      </c>
      <c r="O63">
        <f>SmtRes!X142</f>
        <v>-1575911984</v>
      </c>
      <c r="P63">
        <v>-979024299</v>
      </c>
      <c r="Q63">
        <v>-979024299</v>
      </c>
    </row>
    <row r="64" spans="1:17" ht="12.75">
      <c r="A64">
        <f>Source!A82</f>
        <v>17</v>
      </c>
      <c r="C64">
        <v>3</v>
      </c>
      <c r="D64">
        <v>0</v>
      </c>
      <c r="E64">
        <f>SmtRes!AV141</f>
        <v>0</v>
      </c>
      <c r="F64">
        <f>SmtRes!I141</f>
      </c>
      <c r="G64" t="str">
        <f>SmtRes!K141</f>
        <v>Монтажный клей</v>
      </c>
      <c r="H64" t="str">
        <f>SmtRes!O141</f>
        <v>л</v>
      </c>
      <c r="I64">
        <f>SmtRes!Y141*Source!I82</f>
        <v>4034.0159999999996</v>
      </c>
      <c r="J64">
        <f>SmtRes!AO141</f>
        <v>0</v>
      </c>
      <c r="K64">
        <f>SmtRes!AE141</f>
        <v>516.94</v>
      </c>
      <c r="L64">
        <f t="shared" si="2"/>
        <v>2085344.23104</v>
      </c>
      <c r="M64">
        <f>SmtRes!AA141</f>
        <v>516.94</v>
      </c>
      <c r="N64">
        <f t="shared" si="3"/>
        <v>2085344.23104</v>
      </c>
      <c r="O64">
        <f>SmtRes!X141</f>
        <v>53170732</v>
      </c>
      <c r="P64">
        <v>244006434</v>
      </c>
      <c r="Q64">
        <v>244006434</v>
      </c>
    </row>
    <row r="65" spans="1:17" ht="12.75">
      <c r="A65">
        <f>Source!A82</f>
        <v>17</v>
      </c>
      <c r="C65">
        <v>3</v>
      </c>
      <c r="D65">
        <v>0</v>
      </c>
      <c r="E65">
        <f>SmtRes!AV140</f>
        <v>0</v>
      </c>
      <c r="F65">
        <f>SmtRes!I140</f>
      </c>
      <c r="G65" t="str">
        <f>SmtRes!K140</f>
        <v>Праймер</v>
      </c>
      <c r="H65" t="str">
        <f>SmtRes!O140</f>
        <v>л</v>
      </c>
      <c r="I65">
        <f>SmtRes!Y140*Source!I82</f>
        <v>440.21999999999997</v>
      </c>
      <c r="J65">
        <f>SmtRes!AO140</f>
        <v>0</v>
      </c>
      <c r="K65">
        <f>SmtRes!AE140</f>
        <v>605.35</v>
      </c>
      <c r="L65">
        <f t="shared" si="2"/>
        <v>266487.17699999997</v>
      </c>
      <c r="M65">
        <f>SmtRes!AA140</f>
        <v>605.35</v>
      </c>
      <c r="N65">
        <f t="shared" si="3"/>
        <v>266487.17699999997</v>
      </c>
      <c r="O65">
        <f>SmtRes!X140</f>
        <v>211942243</v>
      </c>
      <c r="P65">
        <v>1435370899</v>
      </c>
      <c r="Q65">
        <v>1435370899</v>
      </c>
    </row>
    <row r="66" spans="1:17" ht="12.75">
      <c r="A66">
        <f>Source!A82</f>
        <v>17</v>
      </c>
      <c r="C66">
        <v>3</v>
      </c>
      <c r="D66">
        <v>0</v>
      </c>
      <c r="E66">
        <f>SmtRes!AV139</f>
        <v>0</v>
      </c>
      <c r="F66">
        <f>SmtRes!I139</f>
      </c>
      <c r="G66" t="str">
        <f>SmtRes!K139</f>
        <v>Очиститель</v>
      </c>
      <c r="H66" t="str">
        <f>SmtRes!O139</f>
        <v>л</v>
      </c>
      <c r="I66">
        <f>SmtRes!Y139*Source!I82</f>
        <v>16.8084</v>
      </c>
      <c r="J66">
        <f>SmtRes!AO139</f>
        <v>0</v>
      </c>
      <c r="K66">
        <f>SmtRes!AE139</f>
        <v>406.5</v>
      </c>
      <c r="L66">
        <f t="shared" si="2"/>
        <v>6832.6146</v>
      </c>
      <c r="M66">
        <f>SmtRes!AA139</f>
        <v>406.5</v>
      </c>
      <c r="N66">
        <f t="shared" si="3"/>
        <v>6832.6146</v>
      </c>
      <c r="O66">
        <f>SmtRes!X139</f>
        <v>-296189421</v>
      </c>
      <c r="P66">
        <v>-603610923</v>
      </c>
      <c r="Q66">
        <v>-603610923</v>
      </c>
    </row>
    <row r="67" spans="1:17" ht="12.75">
      <c r="A67">
        <f>Source!A82</f>
        <v>17</v>
      </c>
      <c r="C67">
        <v>3</v>
      </c>
      <c r="D67">
        <v>0</v>
      </c>
      <c r="E67">
        <f>SmtRes!AV138</f>
        <v>0</v>
      </c>
      <c r="F67">
        <f>SmtRes!I138</f>
      </c>
      <c r="G67" t="str">
        <f>SmtRes!K138</f>
        <v>Дюбель гвоздь потай 8*160</v>
      </c>
      <c r="H67" t="str">
        <f>SmtRes!O138</f>
        <v>шт.</v>
      </c>
      <c r="I67">
        <f>SmtRes!Y138*Source!I82</f>
        <v>8937.907841552144</v>
      </c>
      <c r="J67">
        <f>SmtRes!AO138</f>
        <v>0</v>
      </c>
      <c r="K67">
        <f>SmtRes!AE138</f>
        <v>13.39</v>
      </c>
      <c r="L67">
        <f t="shared" si="2"/>
        <v>119678.5859983832</v>
      </c>
      <c r="M67">
        <f>SmtRes!AA138</f>
        <v>13.39</v>
      </c>
      <c r="N67">
        <f t="shared" si="3"/>
        <v>119678.5859983832</v>
      </c>
      <c r="O67">
        <f>SmtRes!X138</f>
        <v>1752140939</v>
      </c>
      <c r="P67">
        <v>710364638</v>
      </c>
      <c r="Q67">
        <v>710364638</v>
      </c>
    </row>
    <row r="68" spans="1:17" ht="12.75">
      <c r="A68">
        <f>Source!A82</f>
        <v>17</v>
      </c>
      <c r="C68">
        <v>3</v>
      </c>
      <c r="D68">
        <v>0</v>
      </c>
      <c r="E68">
        <f>SmtRes!AV137</f>
        <v>0</v>
      </c>
      <c r="F68">
        <f>SmtRes!I137</f>
      </c>
      <c r="G68" t="str">
        <f>SmtRes!K137</f>
        <v>Рейка металлическая</v>
      </c>
      <c r="H68" t="str">
        <f>SmtRes!O137</f>
        <v>м</v>
      </c>
      <c r="I68">
        <f>SmtRes!Y137*Source!I82</f>
        <v>1787.56</v>
      </c>
      <c r="J68">
        <f>SmtRes!AO137</f>
        <v>0</v>
      </c>
      <c r="K68">
        <f>SmtRes!AE137</f>
        <v>206.45</v>
      </c>
      <c r="L68">
        <f t="shared" si="2"/>
        <v>369041.762</v>
      </c>
      <c r="M68">
        <f>SmtRes!AA137</f>
        <v>206.45</v>
      </c>
      <c r="N68">
        <f t="shared" si="3"/>
        <v>369041.762</v>
      </c>
      <c r="O68">
        <f>SmtRes!X137</f>
        <v>1136113889</v>
      </c>
      <c r="P68">
        <v>-287304068</v>
      </c>
      <c r="Q68">
        <v>-287304068</v>
      </c>
    </row>
    <row r="69" spans="1:17" ht="12.75">
      <c r="A69">
        <f>Source!A82</f>
        <v>17</v>
      </c>
      <c r="C69">
        <v>3</v>
      </c>
      <c r="D69">
        <v>0</v>
      </c>
      <c r="E69">
        <f>SmtRes!AV136</f>
        <v>0</v>
      </c>
      <c r="F69">
        <f>SmtRes!I136</f>
      </c>
      <c r="G69" t="str">
        <f>SmtRes!K136</f>
        <v>Полоса из невулканизированной резины</v>
      </c>
      <c r="H69" t="str">
        <f>SmtRes!O136</f>
        <v>м</v>
      </c>
      <c r="I69">
        <f>SmtRes!Y136*Source!I82</f>
        <v>3575.12</v>
      </c>
      <c r="J69">
        <f>SmtRes!AO136</f>
        <v>0</v>
      </c>
      <c r="K69">
        <f>SmtRes!AE136</f>
        <v>262.19</v>
      </c>
      <c r="L69">
        <f t="shared" si="2"/>
        <v>937360.7128</v>
      </c>
      <c r="M69">
        <f>SmtRes!AA136</f>
        <v>262.19</v>
      </c>
      <c r="N69">
        <f t="shared" si="3"/>
        <v>937360.7128</v>
      </c>
      <c r="O69">
        <f>SmtRes!X136</f>
        <v>474696370</v>
      </c>
      <c r="P69">
        <v>-1635408250</v>
      </c>
      <c r="Q69">
        <v>-1635408250</v>
      </c>
    </row>
    <row r="70" spans="1:17" ht="12.75">
      <c r="A70">
        <f>Source!A82</f>
        <v>17</v>
      </c>
      <c r="C70">
        <v>3</v>
      </c>
      <c r="D70">
        <v>0</v>
      </c>
      <c r="E70">
        <f>SmtRes!AV135</f>
        <v>0</v>
      </c>
      <c r="F70">
        <f>SmtRes!I135</f>
      </c>
      <c r="G70" t="str">
        <f>SmtRes!K135</f>
        <v>ЭПДМ формфлэш</v>
      </c>
      <c r="H70" t="str">
        <f>SmtRes!O135</f>
        <v>м</v>
      </c>
      <c r="I70">
        <f>SmtRes!Y135*Source!I82</f>
        <v>163.81519999999998</v>
      </c>
      <c r="J70">
        <f>SmtRes!AO135</f>
        <v>0</v>
      </c>
      <c r="K70">
        <f>SmtRes!AE135</f>
        <v>666.32</v>
      </c>
      <c r="L70">
        <f t="shared" si="2"/>
        <v>109153.34406399999</v>
      </c>
      <c r="M70">
        <f>SmtRes!AA135</f>
        <v>666.32</v>
      </c>
      <c r="N70">
        <f t="shared" si="3"/>
        <v>109153.34406399999</v>
      </c>
      <c r="O70">
        <f>SmtRes!X135</f>
        <v>102623550</v>
      </c>
      <c r="P70">
        <v>1927228836</v>
      </c>
      <c r="Q70">
        <v>1927228836</v>
      </c>
    </row>
    <row r="71" spans="1:17" ht="12.75">
      <c r="A71">
        <f>Source!A82</f>
        <v>17</v>
      </c>
      <c r="C71">
        <v>3</v>
      </c>
      <c r="D71">
        <v>0</v>
      </c>
      <c r="E71">
        <f>SmtRes!AV134</f>
        <v>0</v>
      </c>
      <c r="F71">
        <f>SmtRes!I134</f>
      </c>
      <c r="G71" t="str">
        <f>SmtRes!K134</f>
        <v>Мембрана ЭПДМ</v>
      </c>
      <c r="H71" t="str">
        <f>SmtRes!O134</f>
        <v>м2</v>
      </c>
      <c r="I71">
        <f>SmtRes!Y134*Source!I82</f>
        <v>3415.04</v>
      </c>
      <c r="J71">
        <f>SmtRes!AO134</f>
        <v>0</v>
      </c>
      <c r="K71">
        <f>SmtRes!AE134</f>
        <v>458.14</v>
      </c>
      <c r="L71">
        <f t="shared" si="2"/>
        <v>1564566.4256</v>
      </c>
      <c r="M71">
        <f>SmtRes!AA134</f>
        <v>458.14</v>
      </c>
      <c r="N71">
        <f t="shared" si="3"/>
        <v>1564566.4256</v>
      </c>
      <c r="O71">
        <f>SmtRes!X134</f>
        <v>-1324732692</v>
      </c>
      <c r="P71">
        <v>1620700903</v>
      </c>
      <c r="Q71">
        <v>1620700903</v>
      </c>
    </row>
    <row r="72" spans="1:17" ht="12.75">
      <c r="A72">
        <f>Source!A83</f>
        <v>17</v>
      </c>
      <c r="C72">
        <v>3</v>
      </c>
      <c r="D72">
        <v>0</v>
      </c>
      <c r="E72">
        <f>SmtRes!AV150</f>
        <v>0</v>
      </c>
      <c r="F72" t="str">
        <f>SmtRes!I150</f>
        <v>101-1875</v>
      </c>
      <c r="G72" t="str">
        <f>SmtRes!K150</f>
        <v>Сталь листовая оцинкованная</v>
      </c>
      <c r="H72" t="str">
        <f>SmtRes!O150</f>
        <v>т</v>
      </c>
      <c r="I72">
        <f>SmtRes!Y150*Source!I83</f>
        <v>0.9878399999999999</v>
      </c>
      <c r="J72">
        <f>SmtRes!AO150</f>
        <v>0</v>
      </c>
      <c r="K72">
        <f>SmtRes!AE150</f>
        <v>47457.6</v>
      </c>
      <c r="L72">
        <f t="shared" si="2"/>
        <v>46880.51558399999</v>
      </c>
      <c r="M72">
        <f>SmtRes!AA150</f>
        <v>47457.6</v>
      </c>
      <c r="N72">
        <f t="shared" si="3"/>
        <v>46880.51558399999</v>
      </c>
      <c r="O72">
        <f>SmtRes!X150</f>
        <v>-1114137737</v>
      </c>
      <c r="P72">
        <v>-1879407804</v>
      </c>
      <c r="Q72">
        <v>-1879407804</v>
      </c>
    </row>
    <row r="73" spans="1:17" ht="12.75">
      <c r="A73">
        <f>Source!A83</f>
        <v>17</v>
      </c>
      <c r="C73">
        <v>3</v>
      </c>
      <c r="D73">
        <v>0</v>
      </c>
      <c r="E73">
        <f>SmtRes!AV149</f>
        <v>0</v>
      </c>
      <c r="F73" t="str">
        <f>SmtRes!I149</f>
        <v>101-0782</v>
      </c>
      <c r="G73" t="str">
        <f>SmtRes!K149</f>
        <v>Анкер-клин</v>
      </c>
      <c r="H73" t="str">
        <f>SmtRes!O149</f>
        <v>шт.</v>
      </c>
      <c r="I73">
        <f>SmtRes!Y149*Source!I83</f>
        <v>1008</v>
      </c>
      <c r="J73">
        <f>SmtRes!AO149</f>
        <v>0</v>
      </c>
      <c r="K73">
        <f>SmtRes!AE149</f>
        <v>3.88</v>
      </c>
      <c r="L73">
        <f t="shared" si="2"/>
        <v>3911.04</v>
      </c>
      <c r="M73">
        <f>SmtRes!AA149</f>
        <v>3.88</v>
      </c>
      <c r="N73">
        <f t="shared" si="3"/>
        <v>3911.04</v>
      </c>
      <c r="O73">
        <f>SmtRes!X149</f>
        <v>-1083236896</v>
      </c>
      <c r="P73">
        <v>-1633518536</v>
      </c>
      <c r="Q73">
        <v>-1633518536</v>
      </c>
    </row>
    <row r="74" spans="1:17" ht="12.75">
      <c r="A74">
        <f>Source!A84</f>
        <v>17</v>
      </c>
      <c r="C74">
        <v>3</v>
      </c>
      <c r="D74">
        <v>0</v>
      </c>
      <c r="E74">
        <f>SmtRes!AV157</f>
        <v>0</v>
      </c>
      <c r="F74" t="str">
        <f>SmtRes!I157</f>
        <v>404-0005</v>
      </c>
      <c r="G74" t="str">
        <f>SmtRes!K157</f>
        <v>Кирпич керамический одинарный, размером 250х120х65 мм, марка 100</v>
      </c>
      <c r="H74" t="str">
        <f>SmtRes!O157</f>
        <v>1000 шт.</v>
      </c>
      <c r="I74">
        <f>SmtRes!Y157*Source!I84</f>
        <v>0.201</v>
      </c>
      <c r="J74">
        <f>SmtRes!AO157</f>
        <v>0</v>
      </c>
      <c r="K74">
        <f>SmtRes!AE157</f>
        <v>10653.39</v>
      </c>
      <c r="L74">
        <f t="shared" si="2"/>
        <v>2141.33139</v>
      </c>
      <c r="M74">
        <f>SmtRes!AA157</f>
        <v>10653.39</v>
      </c>
      <c r="N74">
        <f t="shared" si="3"/>
        <v>2141.33139</v>
      </c>
      <c r="O74">
        <f>SmtRes!X157</f>
        <v>520342064</v>
      </c>
      <c r="P74">
        <v>-1164021645</v>
      </c>
      <c r="Q74">
        <v>-1164021645</v>
      </c>
    </row>
    <row r="75" spans="1:17" ht="12.75">
      <c r="A75">
        <f>Source!A84</f>
        <v>17</v>
      </c>
      <c r="C75">
        <v>3</v>
      </c>
      <c r="D75">
        <v>0</v>
      </c>
      <c r="E75">
        <f>SmtRes!AV156</f>
        <v>0</v>
      </c>
      <c r="F75" t="str">
        <f>SmtRes!I156</f>
        <v>402-0013</v>
      </c>
      <c r="G75" t="str">
        <f>SmtRes!K156</f>
        <v>Раствор готовый кладочный цементно-известковый марки 50</v>
      </c>
      <c r="H75" t="str">
        <f>SmtRes!O156</f>
        <v>м3</v>
      </c>
      <c r="I75">
        <f>SmtRes!Y156*Source!I84</f>
        <v>0.1265</v>
      </c>
      <c r="J75">
        <f>SmtRes!AO156</f>
        <v>0</v>
      </c>
      <c r="K75">
        <f>SmtRes!AE156</f>
        <v>3305.08</v>
      </c>
      <c r="L75">
        <f t="shared" si="2"/>
        <v>418.09262</v>
      </c>
      <c r="M75">
        <f>SmtRes!AA156</f>
        <v>3305.08</v>
      </c>
      <c r="N75">
        <f t="shared" si="3"/>
        <v>418.09262</v>
      </c>
      <c r="O75">
        <f>SmtRes!X156</f>
        <v>-1962984691</v>
      </c>
      <c r="P75">
        <v>-1907096509</v>
      </c>
      <c r="Q75">
        <v>-1907096509</v>
      </c>
    </row>
    <row r="76" ht="12.75">
      <c r="A76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6" width="12.7109375" style="0" customWidth="1"/>
    <col min="35" max="35" width="103.7109375" style="0" hidden="1" customWidth="1"/>
    <col min="36" max="37" width="0" style="0" hidden="1" customWidth="1"/>
  </cols>
  <sheetData>
    <row r="2" spans="1:35" ht="16.5">
      <c r="A2" s="114" t="s">
        <v>634</v>
      </c>
      <c r="B2" s="115"/>
      <c r="C2" s="115"/>
      <c r="D2" s="115"/>
      <c r="E2" s="115"/>
      <c r="F2" s="115"/>
      <c r="AI2" s="59" t="s">
        <v>634</v>
      </c>
    </row>
    <row r="3" spans="1:35" ht="16.5">
      <c r="A3" s="114" t="str">
        <f>CONCATENATE("Объект: ",IF(Source!G124&lt;&gt;"Новый объект",Source!G124,""))</f>
        <v>Объект: помещение 1113 кровля вариант2</v>
      </c>
      <c r="B3" s="115"/>
      <c r="C3" s="115"/>
      <c r="D3" s="115"/>
      <c r="E3" s="115"/>
      <c r="F3" s="115"/>
      <c r="AI3" s="59" t="s">
        <v>635</v>
      </c>
    </row>
    <row r="4" spans="1:6" ht="12.75">
      <c r="A4" s="116" t="s">
        <v>636</v>
      </c>
      <c r="B4" s="116" t="s">
        <v>637</v>
      </c>
      <c r="C4" s="116" t="s">
        <v>538</v>
      </c>
      <c r="D4" s="116" t="s">
        <v>638</v>
      </c>
      <c r="E4" s="119" t="s">
        <v>639</v>
      </c>
      <c r="F4" s="120"/>
    </row>
    <row r="5" spans="1:6" ht="12.75">
      <c r="A5" s="117"/>
      <c r="B5" s="117"/>
      <c r="C5" s="117"/>
      <c r="D5" s="117"/>
      <c r="E5" s="121"/>
      <c r="F5" s="122"/>
    </row>
    <row r="6" spans="1:6" ht="15">
      <c r="A6" s="118"/>
      <c r="B6" s="118"/>
      <c r="C6" s="118"/>
      <c r="D6" s="118"/>
      <c r="E6" s="60" t="s">
        <v>640</v>
      </c>
      <c r="F6" s="60" t="s">
        <v>641</v>
      </c>
    </row>
    <row r="7" spans="1:6" ht="1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</row>
    <row r="8" spans="1:35" ht="16.5">
      <c r="A8" s="114" t="str">
        <f>CONCATENATE("Локальная смета: ",IF(Source!G22&lt;&gt;"Новая локальная смета",Source!G22,""))</f>
        <v>Локальная смета: Ремонт кровли фонаря в осях (3-12)(Д-Е); (И-К)</v>
      </c>
      <c r="B8" s="115"/>
      <c r="C8" s="115"/>
      <c r="D8" s="115"/>
      <c r="E8" s="115"/>
      <c r="F8" s="115"/>
      <c r="AI8" s="59" t="s">
        <v>642</v>
      </c>
    </row>
    <row r="9" spans="1:6" ht="15">
      <c r="A9" s="112" t="s">
        <v>643</v>
      </c>
      <c r="B9" s="123"/>
      <c r="C9" s="123"/>
      <c r="D9" s="123"/>
      <c r="E9" s="123"/>
      <c r="F9" s="123"/>
    </row>
    <row r="10" spans="1:37" ht="15">
      <c r="A10" s="61" t="s">
        <v>3</v>
      </c>
      <c r="B10" s="53" t="s">
        <v>353</v>
      </c>
      <c r="C10" s="53" t="s">
        <v>351</v>
      </c>
      <c r="D10" s="62">
        <f>ROUND(SUMIF(RV_DATA!P7:RV_DATA!P53,933539357,RV_DATA!I7:RV_DATA!I53),6)</f>
        <v>1230</v>
      </c>
      <c r="E10" s="63">
        <f>SmtRes!AE44</f>
        <v>1.56</v>
      </c>
      <c r="F10" s="63">
        <f>ROUND(SUMIF(RV_DATA!P7:RV_DATA!P53,933539357,RV_DATA!L7:RV_DATA!L53),6)</f>
        <v>1918.8</v>
      </c>
      <c r="AK10">
        <v>3</v>
      </c>
    </row>
    <row r="11" spans="1:37" ht="15">
      <c r="A11" s="61" t="s">
        <v>3</v>
      </c>
      <c r="B11" s="53" t="s">
        <v>352</v>
      </c>
      <c r="C11" s="53" t="s">
        <v>351</v>
      </c>
      <c r="D11" s="62">
        <f>ROUND(SUMIF(RV_DATA!P7:RV_DATA!P53,988805957,RV_DATA!I7:RV_DATA!I53),6)</f>
        <v>1230</v>
      </c>
      <c r="E11" s="63">
        <f>SmtRes!AE43</f>
        <v>0.69</v>
      </c>
      <c r="F11" s="63">
        <f>ROUND(SUMIF(RV_DATA!P7:RV_DATA!P53,988805957,RV_DATA!L7:RV_DATA!L53),6)</f>
        <v>848.7</v>
      </c>
      <c r="AK11">
        <v>3</v>
      </c>
    </row>
    <row r="12" spans="1:37" ht="15">
      <c r="A12" s="61" t="s">
        <v>3</v>
      </c>
      <c r="B12" s="53" t="s">
        <v>350</v>
      </c>
      <c r="C12" s="53" t="s">
        <v>351</v>
      </c>
      <c r="D12" s="62">
        <f>ROUND(SUMIF(RV_DATA!P7:RV_DATA!P53,1136289382,RV_DATA!I7:RV_DATA!I53),6)</f>
        <v>1230</v>
      </c>
      <c r="E12" s="63">
        <f>SmtRes!AE42</f>
        <v>4.75</v>
      </c>
      <c r="F12" s="63">
        <f>ROUND(SUMIF(RV_DATA!P7:RV_DATA!P53,1136289382,RV_DATA!L7:RV_DATA!L53),6)</f>
        <v>5842.5</v>
      </c>
      <c r="AK12">
        <v>3</v>
      </c>
    </row>
    <row r="13" spans="1:37" ht="15">
      <c r="A13" s="61" t="s">
        <v>3</v>
      </c>
      <c r="B13" s="53" t="s">
        <v>408</v>
      </c>
      <c r="C13" s="53">
        <v>0</v>
      </c>
      <c r="D13" s="62">
        <f>ROUND(SUMIF(RV_DATA!P7:RV_DATA!P53,81358912,RV_DATA!I7:RV_DATA!I53),6)</f>
        <v>23.55772</v>
      </c>
      <c r="E13" s="63">
        <f>SmtRes!AE101</f>
        <v>52.32</v>
      </c>
      <c r="F13" s="63">
        <f>ROUND(SUMIF(RV_DATA!P7:RV_DATA!P53,81358912,RV_DATA!L7:RV_DATA!L53),6)</f>
        <v>1232.539926</v>
      </c>
      <c r="AK13">
        <v>3</v>
      </c>
    </row>
    <row r="14" spans="1:37" ht="15">
      <c r="A14" s="61" t="s">
        <v>3</v>
      </c>
      <c r="B14" s="53" t="s">
        <v>407</v>
      </c>
      <c r="C14" s="53" t="s">
        <v>380</v>
      </c>
      <c r="D14" s="62">
        <f>ROUND(SUMIF(RV_DATA!P7:RV_DATA!P53,697700550,RV_DATA!I7:RV_DATA!I53),6)</f>
        <v>80.76</v>
      </c>
      <c r="E14" s="63">
        <f>SmtRes!AE100</f>
        <v>621.34</v>
      </c>
      <c r="F14" s="63">
        <f>ROUND(SUMIF(RV_DATA!P7:RV_DATA!P53,697700550,RV_DATA!L7:RV_DATA!L53),6)</f>
        <v>50179.4184</v>
      </c>
      <c r="AK14">
        <v>3</v>
      </c>
    </row>
    <row r="15" spans="1:37" ht="15">
      <c r="A15" s="61" t="s">
        <v>3</v>
      </c>
      <c r="B15" s="53" t="s">
        <v>406</v>
      </c>
      <c r="C15" s="53" t="s">
        <v>380</v>
      </c>
      <c r="D15" s="62">
        <f>ROUND(SUMIF(RV_DATA!P7:RV_DATA!P53,-917312507,RV_DATA!I7:RV_DATA!I53),6)</f>
        <v>1346</v>
      </c>
      <c r="E15" s="63">
        <f>SmtRes!AE99</f>
        <v>1.78</v>
      </c>
      <c r="F15" s="63">
        <f>ROUND(SUMIF(RV_DATA!P7:RV_DATA!P53,-917312507,RV_DATA!L7:RV_DATA!L53),6)</f>
        <v>2395.88</v>
      </c>
      <c r="AK15">
        <v>3</v>
      </c>
    </row>
    <row r="16" spans="1:37" ht="15">
      <c r="A16" s="61" t="s">
        <v>3</v>
      </c>
      <c r="B16" s="53" t="s">
        <v>405</v>
      </c>
      <c r="C16" s="53" t="s">
        <v>397</v>
      </c>
      <c r="D16" s="62">
        <f>ROUND(SUMIF(RV_DATA!P7:RV_DATA!P53,-979024299,RV_DATA!I7:RV_DATA!I53),6)</f>
        <v>378.845864</v>
      </c>
      <c r="E16" s="63">
        <f>SmtRes!AE98</f>
        <v>166.4</v>
      </c>
      <c r="F16" s="63">
        <f>ROUND(SUMIF(RV_DATA!P7:RV_DATA!P53,-979024299,RV_DATA!L7:RV_DATA!L53),6)</f>
        <v>63039.951711</v>
      </c>
      <c r="AK16">
        <v>3</v>
      </c>
    </row>
    <row r="17" spans="1:37" ht="15">
      <c r="A17" s="61" t="s">
        <v>3</v>
      </c>
      <c r="B17" s="53" t="s">
        <v>404</v>
      </c>
      <c r="C17" s="53" t="s">
        <v>402</v>
      </c>
      <c r="D17" s="62">
        <f>ROUND(SUMIF(RV_DATA!P7:RV_DATA!P53,244006434,RV_DATA!I7:RV_DATA!I53),6)</f>
        <v>1017.576</v>
      </c>
      <c r="E17" s="63">
        <f>SmtRes!AE97</f>
        <v>516.94</v>
      </c>
      <c r="F17" s="63">
        <f>ROUND(SUMIF(RV_DATA!P7:RV_DATA!P53,244006434,RV_DATA!L7:RV_DATA!L53),6)</f>
        <v>526025.73744</v>
      </c>
      <c r="AK17">
        <v>3</v>
      </c>
    </row>
    <row r="18" spans="1:37" ht="15">
      <c r="A18" s="61" t="s">
        <v>3</v>
      </c>
      <c r="B18" s="53" t="s">
        <v>403</v>
      </c>
      <c r="C18" s="53" t="s">
        <v>402</v>
      </c>
      <c r="D18" s="62">
        <f>ROUND(SUMIF(RV_DATA!P7:RV_DATA!P53,1435370899,RV_DATA!I7:RV_DATA!I53),6)</f>
        <v>111.045</v>
      </c>
      <c r="E18" s="63">
        <f>SmtRes!AE96</f>
        <v>605.35</v>
      </c>
      <c r="F18" s="63">
        <f>ROUND(SUMIF(RV_DATA!P7:RV_DATA!P53,1435370899,RV_DATA!L7:RV_DATA!L53),6)</f>
        <v>67221.09075</v>
      </c>
      <c r="AK18">
        <v>3</v>
      </c>
    </row>
    <row r="19" spans="1:37" ht="15">
      <c r="A19" s="61" t="s">
        <v>3</v>
      </c>
      <c r="B19" s="53" t="s">
        <v>401</v>
      </c>
      <c r="C19" s="53" t="s">
        <v>402</v>
      </c>
      <c r="D19" s="62">
        <f>ROUND(SUMIF(RV_DATA!P7:RV_DATA!P53,-603610923,RV_DATA!I7:RV_DATA!I53),6)</f>
        <v>4.2399</v>
      </c>
      <c r="E19" s="63">
        <f>SmtRes!AE95</f>
        <v>406.5</v>
      </c>
      <c r="F19" s="63">
        <f>ROUND(SUMIF(RV_DATA!P7:RV_DATA!P53,-603610923,RV_DATA!L7:RV_DATA!L53),6)</f>
        <v>1723.51935</v>
      </c>
      <c r="AK19">
        <v>3</v>
      </c>
    </row>
    <row r="20" spans="1:37" ht="15">
      <c r="A20" s="61" t="s">
        <v>3</v>
      </c>
      <c r="B20" s="53" t="s">
        <v>400</v>
      </c>
      <c r="C20" s="53" t="s">
        <v>380</v>
      </c>
      <c r="D20" s="62">
        <f>ROUND(SUMIF(RV_DATA!P7:RV_DATA!P53,710364638,RV_DATA!I7:RV_DATA!I53),6)</f>
        <v>2254.577203</v>
      </c>
      <c r="E20" s="63">
        <f>SmtRes!AE94</f>
        <v>13.39</v>
      </c>
      <c r="F20" s="63">
        <f>ROUND(SUMIF(RV_DATA!P7:RV_DATA!P53,710364638,RV_DATA!L7:RV_DATA!L53),6)</f>
        <v>30188.788747</v>
      </c>
      <c r="AK20">
        <v>3</v>
      </c>
    </row>
    <row r="21" spans="1:37" ht="15">
      <c r="A21" s="61" t="s">
        <v>3</v>
      </c>
      <c r="B21" s="53" t="s">
        <v>399</v>
      </c>
      <c r="C21" s="53" t="s">
        <v>397</v>
      </c>
      <c r="D21" s="62">
        <f>ROUND(SUMIF(RV_DATA!P7:RV_DATA!P53,-287304068,RV_DATA!I7:RV_DATA!I53),6)</f>
        <v>450.91</v>
      </c>
      <c r="E21" s="63">
        <f>SmtRes!AE93</f>
        <v>206.45</v>
      </c>
      <c r="F21" s="63">
        <f>ROUND(SUMIF(RV_DATA!P7:RV_DATA!P53,-287304068,RV_DATA!L7:RV_DATA!L53),6)</f>
        <v>93090.3695</v>
      </c>
      <c r="AK21">
        <v>3</v>
      </c>
    </row>
    <row r="22" spans="1:37" ht="15">
      <c r="A22" s="61" t="s">
        <v>3</v>
      </c>
      <c r="B22" s="53" t="s">
        <v>398</v>
      </c>
      <c r="C22" s="53" t="s">
        <v>397</v>
      </c>
      <c r="D22" s="62">
        <f>ROUND(SUMIF(RV_DATA!P7:RV_DATA!P53,-1635408250,RV_DATA!I7:RV_DATA!I53),6)</f>
        <v>901.82</v>
      </c>
      <c r="E22" s="63">
        <f>SmtRes!AE92</f>
        <v>262.19</v>
      </c>
      <c r="F22" s="63">
        <f>ROUND(SUMIF(RV_DATA!P7:RV_DATA!P53,-1635408250,RV_DATA!L7:RV_DATA!L53),6)</f>
        <v>236448.1858</v>
      </c>
      <c r="AK22">
        <v>3</v>
      </c>
    </row>
    <row r="23" spans="1:37" ht="15">
      <c r="A23" s="61" t="s">
        <v>3</v>
      </c>
      <c r="B23" s="53" t="s">
        <v>396</v>
      </c>
      <c r="C23" s="53" t="s">
        <v>397</v>
      </c>
      <c r="D23" s="62">
        <f>ROUND(SUMIF(RV_DATA!P7:RV_DATA!P53,1927228836,RV_DATA!I7:RV_DATA!I53),6)</f>
        <v>41.3222</v>
      </c>
      <c r="E23" s="63">
        <f>SmtRes!AE91</f>
        <v>666.32</v>
      </c>
      <c r="F23" s="63">
        <f>ROUND(SUMIF(RV_DATA!P7:RV_DATA!P53,1927228836,RV_DATA!L7:RV_DATA!L53),6)</f>
        <v>27533.808304</v>
      </c>
      <c r="AK23">
        <v>3</v>
      </c>
    </row>
    <row r="24" spans="1:37" ht="15">
      <c r="A24" s="61" t="s">
        <v>3</v>
      </c>
      <c r="B24" s="53" t="s">
        <v>395</v>
      </c>
      <c r="C24" s="53" t="s">
        <v>322</v>
      </c>
      <c r="D24" s="62">
        <f>ROUND(SUMIF(RV_DATA!P7:RV_DATA!P53,1620700903,RV_DATA!I7:RV_DATA!I53),6)</f>
        <v>861.44</v>
      </c>
      <c r="E24" s="63">
        <f>SmtRes!AE90</f>
        <v>458.14</v>
      </c>
      <c r="F24" s="63">
        <f>ROUND(SUMIF(RV_DATA!P7:RV_DATA!P53,1620700903,RV_DATA!L7:RV_DATA!L53),6)</f>
        <v>394660.1216</v>
      </c>
      <c r="AK24">
        <v>3</v>
      </c>
    </row>
    <row r="25" spans="1:37" ht="15">
      <c r="A25" s="61" t="s">
        <v>299</v>
      </c>
      <c r="B25" s="53" t="s">
        <v>301</v>
      </c>
      <c r="C25" s="53" t="s">
        <v>302</v>
      </c>
      <c r="D25" s="62">
        <f>ROUND(SUMIF(RV_DATA!P7:RV_DATA!P53,-1234444586,RV_DATA!I7:RV_DATA!I53),6)</f>
        <v>2.6072</v>
      </c>
      <c r="E25" s="63">
        <f>SmtRes!AE18</f>
        <v>43</v>
      </c>
      <c r="F25" s="63">
        <f>ROUND(SUMIF(RV_DATA!P7:RV_DATA!P53,-1234444586,RV_DATA!L7:RV_DATA!L53),6)</f>
        <v>112.1096</v>
      </c>
      <c r="AK25">
        <v>3</v>
      </c>
    </row>
    <row r="26" spans="1:37" ht="15">
      <c r="A26" s="61" t="s">
        <v>342</v>
      </c>
      <c r="B26" s="53" t="s">
        <v>344</v>
      </c>
      <c r="C26" s="53" t="s">
        <v>100</v>
      </c>
      <c r="D26" s="62">
        <f>ROUND(SUMIF(RV_DATA!P7:RV_DATA!P53,-928458332,RV_DATA!I7:RV_DATA!I53),6)</f>
        <v>0.123088</v>
      </c>
      <c r="E26" s="63">
        <f>SmtRes!AE35</f>
        <v>88135.59</v>
      </c>
      <c r="F26" s="63">
        <f>ROUND(SUMIF(RV_DATA!P7:RV_DATA!P53,-928458332,RV_DATA!L7:RV_DATA!L53),6)</f>
        <v>10848.433502</v>
      </c>
      <c r="AK26">
        <v>3</v>
      </c>
    </row>
    <row r="27" spans="1:37" ht="15">
      <c r="A27" s="61" t="s">
        <v>414</v>
      </c>
      <c r="B27" s="53" t="s">
        <v>416</v>
      </c>
      <c r="C27" s="53" t="s">
        <v>380</v>
      </c>
      <c r="D27" s="62">
        <f>ROUND(SUMIF(RV_DATA!P7:RV_DATA!P53,-1633518536,RV_DATA!I7:RV_DATA!I53),6)</f>
        <v>541.8</v>
      </c>
      <c r="E27" s="63">
        <f>SmtRes!AE105</f>
        <v>3.88</v>
      </c>
      <c r="F27" s="63">
        <f>ROUND(SUMIF(RV_DATA!P7:RV_DATA!P53,-1633518536,RV_DATA!L7:RV_DATA!L53),6)</f>
        <v>2102.184</v>
      </c>
      <c r="AK27">
        <v>3</v>
      </c>
    </row>
    <row r="28" spans="1:37" ht="30">
      <c r="A28" s="61" t="s">
        <v>303</v>
      </c>
      <c r="B28" s="53" t="s">
        <v>305</v>
      </c>
      <c r="C28" s="53" t="s">
        <v>100</v>
      </c>
      <c r="D28" s="62">
        <f>ROUND(SUMIF(RV_DATA!P7:RV_DATA!P53,-1045687378,RV_DATA!I7:RV_DATA!I53),6)</f>
        <v>6.8E-05</v>
      </c>
      <c r="E28" s="63">
        <f>SmtRes!AE19</f>
        <v>68136</v>
      </c>
      <c r="F28" s="63">
        <f>ROUND(SUMIF(RV_DATA!P7:RV_DATA!P53,-1045687378,RV_DATA!L7:RV_DATA!L53),6)</f>
        <v>4.655052</v>
      </c>
      <c r="AK28">
        <v>3</v>
      </c>
    </row>
    <row r="29" spans="1:37" ht="15">
      <c r="A29" s="61" t="s">
        <v>345</v>
      </c>
      <c r="B29" s="53" t="s">
        <v>347</v>
      </c>
      <c r="C29" s="53" t="s">
        <v>322</v>
      </c>
      <c r="D29" s="62">
        <f>ROUND(SUMIF(RV_DATA!P7:RV_DATA!P53,1550977401,RV_DATA!I7:RV_DATA!I53),6)</f>
        <v>69.08</v>
      </c>
      <c r="E29" s="63">
        <f>SmtRes!AE36</f>
        <v>63.47</v>
      </c>
      <c r="F29" s="63">
        <f>ROUND(SUMIF(RV_DATA!P7:RV_DATA!P53,1550977401,RV_DATA!L7:RV_DATA!L53),6)</f>
        <v>4384.5076</v>
      </c>
      <c r="AK29">
        <v>3</v>
      </c>
    </row>
    <row r="30" spans="1:37" ht="15">
      <c r="A30" s="61" t="s">
        <v>306</v>
      </c>
      <c r="B30" s="53" t="s">
        <v>308</v>
      </c>
      <c r="C30" s="53" t="s">
        <v>100</v>
      </c>
      <c r="D30" s="62">
        <f>ROUND(SUMIF(RV_DATA!P7:RV_DATA!P53,923707930,RV_DATA!I7:RV_DATA!I53),6)</f>
        <v>0.001017</v>
      </c>
      <c r="E30" s="63">
        <f>SmtRes!AE20</f>
        <v>73728.6</v>
      </c>
      <c r="F30" s="63">
        <f>ROUND(SUMIF(RV_DATA!P7:RV_DATA!P53,923707930,RV_DATA!L7:RV_DATA!L53),6)</f>
        <v>74.958393</v>
      </c>
      <c r="AK30">
        <v>3</v>
      </c>
    </row>
    <row r="31" spans="1:37" ht="15">
      <c r="A31" s="61" t="s">
        <v>309</v>
      </c>
      <c r="B31" s="53" t="s">
        <v>311</v>
      </c>
      <c r="C31" s="53" t="s">
        <v>100</v>
      </c>
      <c r="D31" s="62">
        <f>ROUND(SUMIF(RV_DATA!P7:RV_DATA!P53,-81566705,RV_DATA!I7:RV_DATA!I53),6)</f>
        <v>0.031622</v>
      </c>
      <c r="E31" s="63">
        <f>SmtRes!AE21</f>
        <v>98305.08</v>
      </c>
      <c r="F31" s="63">
        <f>ROUND(SUMIF(RV_DATA!P7:RV_DATA!P53,-81566705,RV_DATA!L7:RV_DATA!L53),6)</f>
        <v>3108.563918</v>
      </c>
      <c r="AK31">
        <v>3</v>
      </c>
    </row>
    <row r="32" spans="1:37" ht="15">
      <c r="A32" s="61" t="s">
        <v>358</v>
      </c>
      <c r="B32" s="53" t="s">
        <v>360</v>
      </c>
      <c r="C32" s="53" t="s">
        <v>100</v>
      </c>
      <c r="D32" s="62">
        <f>ROUND(SUMIF(RV_DATA!P7:RV_DATA!P53,-1241865664,RV_DATA!I7:RV_DATA!I53),6)</f>
        <v>1.4E-05</v>
      </c>
      <c r="E32" s="63">
        <f>SmtRes!AE67</f>
        <v>65000</v>
      </c>
      <c r="F32" s="63">
        <f>ROUND(SUMIF(RV_DATA!P7:RV_DATA!P53,-1241865664,RV_DATA!L7:RV_DATA!L53),6)</f>
        <v>0.936</v>
      </c>
      <c r="AK32">
        <v>3</v>
      </c>
    </row>
    <row r="33" spans="1:37" ht="15">
      <c r="A33" s="61" t="s">
        <v>358</v>
      </c>
      <c r="B33" s="53" t="s">
        <v>360</v>
      </c>
      <c r="C33" s="53" t="s">
        <v>100</v>
      </c>
      <c r="D33" s="62">
        <f>ROUND(SUMIF(RV_DATA!P7:RV_DATA!P53,-873521821,RV_DATA!I7:RV_DATA!I53),6)</f>
        <v>0.005198</v>
      </c>
      <c r="E33" s="63">
        <f>SmtRes!AE76</f>
        <v>65000</v>
      </c>
      <c r="F33" s="63">
        <f>ROUND(SUMIF(RV_DATA!P7:RV_DATA!P53,-873521821,RV_DATA!L7:RV_DATA!L53),6)</f>
        <v>337.896</v>
      </c>
      <c r="AK33">
        <v>3</v>
      </c>
    </row>
    <row r="34" spans="1:37" ht="15">
      <c r="A34" s="61" t="s">
        <v>417</v>
      </c>
      <c r="B34" s="53" t="s">
        <v>419</v>
      </c>
      <c r="C34" s="53" t="s">
        <v>100</v>
      </c>
      <c r="D34" s="62">
        <f>ROUND(SUMIF(RV_DATA!P7:RV_DATA!P53,-1879407804,RV_DATA!I7:RV_DATA!I53),6)</f>
        <v>0.530964</v>
      </c>
      <c r="E34" s="63">
        <f>SmtRes!AE106</f>
        <v>47457.6</v>
      </c>
      <c r="F34" s="63">
        <f>ROUND(SUMIF(RV_DATA!P7:RV_DATA!P53,-1879407804,RV_DATA!L7:RV_DATA!L53),6)</f>
        <v>25198.277126</v>
      </c>
      <c r="AK34">
        <v>3</v>
      </c>
    </row>
    <row r="35" spans="1:37" ht="15">
      <c r="A35" s="61" t="s">
        <v>312</v>
      </c>
      <c r="B35" s="53" t="s">
        <v>314</v>
      </c>
      <c r="C35" s="53" t="s">
        <v>315</v>
      </c>
      <c r="D35" s="62">
        <f>ROUND(SUMIF(RV_DATA!P7:RV_DATA!P53,-894429062,RV_DATA!I7:RV_DATA!I53),6)</f>
        <v>0.78216</v>
      </c>
      <c r="E35" s="63">
        <f>SmtRes!AE22</f>
        <v>35</v>
      </c>
      <c r="F35" s="63">
        <f>ROUND(SUMIF(RV_DATA!P7:RV_DATA!P53,-894429062,RV_DATA!L7:RV_DATA!L53),6)</f>
        <v>27.3756</v>
      </c>
      <c r="AK35">
        <v>3</v>
      </c>
    </row>
    <row r="36" spans="1:37" ht="15">
      <c r="A36" s="61" t="s">
        <v>316</v>
      </c>
      <c r="B36" s="53" t="s">
        <v>318</v>
      </c>
      <c r="C36" s="53" t="s">
        <v>100</v>
      </c>
      <c r="D36" s="62">
        <f>ROUND(SUMIF(RV_DATA!P7:RV_DATA!P53,1525141026,RV_DATA!I7:RV_DATA!I53),6)</f>
        <v>0.000921</v>
      </c>
      <c r="E36" s="63">
        <f>SmtRes!AE23</f>
        <v>132200</v>
      </c>
      <c r="F36" s="63">
        <f>ROUND(SUMIF(RV_DATA!P7:RV_DATA!P53,1525141026,RV_DATA!L7:RV_DATA!L53),6)</f>
        <v>121.692744</v>
      </c>
      <c r="AK36">
        <v>3</v>
      </c>
    </row>
    <row r="37" spans="1:37" ht="30">
      <c r="A37" s="61" t="s">
        <v>319</v>
      </c>
      <c r="B37" s="53" t="s">
        <v>321</v>
      </c>
      <c r="C37" s="53" t="s">
        <v>322</v>
      </c>
      <c r="D37" s="62">
        <f>ROUND(SUMIF(RV_DATA!P7:RV_DATA!P53,-1791394818,RV_DATA!I7:RV_DATA!I53),6)</f>
        <v>72.22</v>
      </c>
      <c r="E37" s="63">
        <f>SmtRes!AE24</f>
        <v>237.29</v>
      </c>
      <c r="F37" s="63">
        <f>ROUND(SUMIF(RV_DATA!P7:RV_DATA!P53,-1791394818,RV_DATA!L7:RV_DATA!L53),6)</f>
        <v>17137.0838</v>
      </c>
      <c r="AK37">
        <v>3</v>
      </c>
    </row>
    <row r="38" spans="1:37" ht="45">
      <c r="A38" s="61" t="s">
        <v>323</v>
      </c>
      <c r="B38" s="53" t="s">
        <v>325</v>
      </c>
      <c r="C38" s="53" t="s">
        <v>302</v>
      </c>
      <c r="D38" s="62">
        <f>ROUND(SUMIF(RV_DATA!P7:RV_DATA!P53,-1716790132,RV_DATA!I7:RV_DATA!I53),6)</f>
        <v>0.0023</v>
      </c>
      <c r="E38" s="63">
        <f>SmtRes!AE25</f>
        <v>5762.71</v>
      </c>
      <c r="F38" s="63">
        <f>ROUND(SUMIF(RV_DATA!P7:RV_DATA!P53,-1716790132,RV_DATA!L7:RV_DATA!L53),6)</f>
        <v>13.251928</v>
      </c>
      <c r="AK38">
        <v>3</v>
      </c>
    </row>
    <row r="39" spans="1:37" ht="15">
      <c r="A39" s="61" t="s">
        <v>371</v>
      </c>
      <c r="B39" s="53" t="s">
        <v>373</v>
      </c>
      <c r="C39" s="53" t="s">
        <v>302</v>
      </c>
      <c r="D39" s="62">
        <f>ROUND(SUMIF(RV_DATA!P7:RV_DATA!P53,-200974332,RV_DATA!I7:RV_DATA!I53),6)</f>
        <v>2.166</v>
      </c>
      <c r="E39" s="63">
        <f>SmtRes!AE77</f>
        <v>5762.71</v>
      </c>
      <c r="F39" s="63">
        <f>ROUND(SUMIF(RV_DATA!P7:RV_DATA!P53,-200974332,RV_DATA!L7:RV_DATA!L53),6)</f>
        <v>12482.02986</v>
      </c>
      <c r="AK39">
        <v>3</v>
      </c>
    </row>
    <row r="40" spans="1:37" ht="15">
      <c r="A40" s="61" t="s">
        <v>374</v>
      </c>
      <c r="B40" s="53" t="s">
        <v>376</v>
      </c>
      <c r="C40" s="53" t="s">
        <v>322</v>
      </c>
      <c r="D40" s="62">
        <f>ROUND(SUMIF(RV_DATA!P7:RV_DATA!P53,1761276749,RV_DATA!I7:RV_DATA!I53),6)</f>
        <v>153.064</v>
      </c>
      <c r="E40" s="63">
        <f>SmtRes!AE78</f>
        <v>203.39</v>
      </c>
      <c r="F40" s="63">
        <f>ROUND(SUMIF(RV_DATA!P7:RV_DATA!P53,1761276749,RV_DATA!L7:RV_DATA!L53),6)</f>
        <v>31131.68696</v>
      </c>
      <c r="AK40">
        <v>3</v>
      </c>
    </row>
    <row r="41" spans="1:37" ht="15">
      <c r="A41" s="61" t="s">
        <v>354</v>
      </c>
      <c r="B41" s="53" t="s">
        <v>356</v>
      </c>
      <c r="C41" s="53" t="s">
        <v>302</v>
      </c>
      <c r="D41" s="62">
        <f>ROUND(SUMIF(RV_DATA!P7:RV_DATA!P53,73249437,RV_DATA!I7:RV_DATA!I53),6)</f>
        <v>10.1352</v>
      </c>
      <c r="E41" s="63">
        <f>SmtRes!AE45</f>
        <v>3946.75</v>
      </c>
      <c r="F41" s="63">
        <f>ROUND(SUMIF(RV_DATA!P7:RV_DATA!P53,73249437,RV_DATA!L7:RV_DATA!L53),6)</f>
        <v>40001.1006</v>
      </c>
      <c r="AK41">
        <v>3</v>
      </c>
    </row>
    <row r="42" spans="1:37" ht="15">
      <c r="A42" s="61" t="s">
        <v>354</v>
      </c>
      <c r="B42" s="53" t="s">
        <v>357</v>
      </c>
      <c r="C42" s="53" t="s">
        <v>302</v>
      </c>
      <c r="D42" s="62">
        <f>ROUND(SUMIF(RV_DATA!P7:RV_DATA!P53,760547883,RV_DATA!I7:RV_DATA!I53),6)</f>
        <v>13.5136</v>
      </c>
      <c r="E42" s="63">
        <f>SmtRes!AE54</f>
        <v>6544.07</v>
      </c>
      <c r="F42" s="63">
        <f>ROUND(SUMIF(RV_DATA!P7:RV_DATA!P53,760547883,RV_DATA!L7:RV_DATA!L53),6)</f>
        <v>88433.944352</v>
      </c>
      <c r="AK42">
        <v>3</v>
      </c>
    </row>
    <row r="43" spans="1:37" ht="15">
      <c r="A43" s="61" t="s">
        <v>326</v>
      </c>
      <c r="B43" s="53" t="s">
        <v>328</v>
      </c>
      <c r="C43" s="53" t="s">
        <v>100</v>
      </c>
      <c r="D43" s="62">
        <f>ROUND(SUMIF(RV_DATA!P7:RV_DATA!P53,-485462817,RV_DATA!I7:RV_DATA!I53),6)</f>
        <v>0.000742</v>
      </c>
      <c r="E43" s="63">
        <f>SmtRes!AE26</f>
        <v>67779.66</v>
      </c>
      <c r="F43" s="63">
        <f>ROUND(SUMIF(RV_DATA!P7:RV_DATA!P53,-485462817,RV_DATA!L7:RV_DATA!L53),6)</f>
        <v>50.262685</v>
      </c>
      <c r="AK43">
        <v>3</v>
      </c>
    </row>
    <row r="44" spans="1:37" ht="15">
      <c r="A44" s="61" t="s">
        <v>361</v>
      </c>
      <c r="B44" s="53" t="s">
        <v>363</v>
      </c>
      <c r="C44" s="53" t="s">
        <v>100</v>
      </c>
      <c r="D44" s="62">
        <f>ROUND(SUMIF(RV_DATA!P7:RV_DATA!P53,-277471956,RV_DATA!I7:RV_DATA!I53),6)</f>
        <v>1.44</v>
      </c>
      <c r="E44" s="63">
        <f>SmtRes!AE72</f>
        <v>31779.66</v>
      </c>
      <c r="F44" s="63">
        <f>ROUND(SUMIF(RV_DATA!P7:RV_DATA!P53,-277471956,RV_DATA!L7:RV_DATA!L53),6)</f>
        <v>45762.7104</v>
      </c>
      <c r="AK44">
        <v>3</v>
      </c>
    </row>
    <row r="45" spans="1:37" ht="15">
      <c r="A45" s="61" t="s">
        <v>377</v>
      </c>
      <c r="B45" s="53" t="s">
        <v>379</v>
      </c>
      <c r="C45" s="53" t="s">
        <v>380</v>
      </c>
      <c r="D45" s="62">
        <f>ROUND(SUMIF(RV_DATA!P7:RV_DATA!P53,691528774,RV_DATA!I7:RV_DATA!I53),6)</f>
        <v>144.4</v>
      </c>
      <c r="E45" s="63">
        <f>SmtRes!AE79</f>
        <v>12</v>
      </c>
      <c r="F45" s="63">
        <f>ROUND(SUMIF(RV_DATA!P7:RV_DATA!P53,691528774,RV_DATA!L7:RV_DATA!L53),6)</f>
        <v>1732.8</v>
      </c>
      <c r="AK45">
        <v>3</v>
      </c>
    </row>
    <row r="46" spans="1:6" ht="14.25">
      <c r="A46" s="124" t="s">
        <v>644</v>
      </c>
      <c r="B46" s="124"/>
      <c r="C46" s="124"/>
      <c r="D46" s="124"/>
      <c r="E46" s="125">
        <f>SUMIF(AK10:AK45,3,F10:F45)</f>
        <v>1785415.8716479999</v>
      </c>
      <c r="F46" s="125"/>
    </row>
    <row r="47" spans="1:35" ht="16.5">
      <c r="A47" s="114" t="str">
        <f>CONCATENATE("Локальная смета: ",IF(Source!G76&lt;&gt;"Новая локальная смета",Source!G76,""))</f>
        <v>Локальная смета: Ремонт кровли корпуса №20 в осях  (1-9) (Г-Ж)</v>
      </c>
      <c r="B47" s="115"/>
      <c r="C47" s="115"/>
      <c r="D47" s="115"/>
      <c r="E47" s="115"/>
      <c r="F47" s="115"/>
      <c r="AI47" s="59" t="s">
        <v>645</v>
      </c>
    </row>
    <row r="48" spans="1:6" ht="15">
      <c r="A48" s="112" t="s">
        <v>643</v>
      </c>
      <c r="B48" s="123"/>
      <c r="C48" s="123"/>
      <c r="D48" s="123"/>
      <c r="E48" s="123"/>
      <c r="F48" s="123"/>
    </row>
    <row r="49" spans="1:37" ht="15">
      <c r="A49" s="61" t="s">
        <v>3</v>
      </c>
      <c r="B49" s="53" t="s">
        <v>408</v>
      </c>
      <c r="C49" s="53">
        <v>0</v>
      </c>
      <c r="D49" s="62">
        <f>ROUND(SUMIF(RV_DATA!P55:RV_DATA!P75,81358912,RV_DATA!I55:RV_DATA!I75),6)</f>
        <v>93.390784</v>
      </c>
      <c r="E49" s="63">
        <f>SmtRes!AE145</f>
        <v>52.32</v>
      </c>
      <c r="F49" s="63">
        <f>ROUND(SUMIF(RV_DATA!P55:RV_DATA!P75,81358912,RV_DATA!L55:RV_DATA!L75),6)</f>
        <v>4886.205827</v>
      </c>
      <c r="AK49">
        <v>3</v>
      </c>
    </row>
    <row r="50" spans="1:37" ht="15">
      <c r="A50" s="61" t="s">
        <v>3</v>
      </c>
      <c r="B50" s="53" t="s">
        <v>407</v>
      </c>
      <c r="C50" s="53" t="s">
        <v>380</v>
      </c>
      <c r="D50" s="62">
        <f>ROUND(SUMIF(RV_DATA!P55:RV_DATA!P75,697700550,RV_DATA!I55:RV_DATA!I75),6)</f>
        <v>320.16</v>
      </c>
      <c r="E50" s="63">
        <f>SmtRes!AE144</f>
        <v>621.34</v>
      </c>
      <c r="F50" s="63">
        <f>ROUND(SUMIF(RV_DATA!P55:RV_DATA!P75,697700550,RV_DATA!L55:RV_DATA!L75),6)</f>
        <v>198928.2144</v>
      </c>
      <c r="AK50">
        <v>3</v>
      </c>
    </row>
    <row r="51" spans="1:37" ht="15">
      <c r="A51" s="61" t="s">
        <v>3</v>
      </c>
      <c r="B51" s="53" t="s">
        <v>406</v>
      </c>
      <c r="C51" s="53" t="s">
        <v>380</v>
      </c>
      <c r="D51" s="62">
        <f>ROUND(SUMIF(RV_DATA!P55:RV_DATA!P75,-917312507,RV_DATA!I55:RV_DATA!I75),6)</f>
        <v>5336</v>
      </c>
      <c r="E51" s="63">
        <f>SmtRes!AE143</f>
        <v>1.78</v>
      </c>
      <c r="F51" s="63">
        <f>ROUND(SUMIF(RV_DATA!P55:RV_DATA!P75,-917312507,RV_DATA!L55:RV_DATA!L75),6)</f>
        <v>9498.08</v>
      </c>
      <c r="AK51">
        <v>3</v>
      </c>
    </row>
    <row r="52" spans="1:37" ht="15">
      <c r="A52" s="61" t="s">
        <v>3</v>
      </c>
      <c r="B52" s="53" t="s">
        <v>405</v>
      </c>
      <c r="C52" s="53" t="s">
        <v>397</v>
      </c>
      <c r="D52" s="62">
        <f>ROUND(SUMIF(RV_DATA!P55:RV_DATA!P75,-979024299,RV_DATA!I55:RV_DATA!I75),6)</f>
        <v>1501.87335</v>
      </c>
      <c r="E52" s="63">
        <f>SmtRes!AE142</f>
        <v>166.4</v>
      </c>
      <c r="F52" s="63">
        <f>ROUND(SUMIF(RV_DATA!P55:RV_DATA!P75,-979024299,RV_DATA!L55:RV_DATA!L75),6)</f>
        <v>249911.725357</v>
      </c>
      <c r="AK52">
        <v>3</v>
      </c>
    </row>
    <row r="53" spans="1:37" ht="15">
      <c r="A53" s="61" t="s">
        <v>3</v>
      </c>
      <c r="B53" s="53" t="s">
        <v>404</v>
      </c>
      <c r="C53" s="53" t="s">
        <v>402</v>
      </c>
      <c r="D53" s="62">
        <f>ROUND(SUMIF(RV_DATA!P55:RV_DATA!P75,244006434,RV_DATA!I55:RV_DATA!I75),6)</f>
        <v>4034.016</v>
      </c>
      <c r="E53" s="63">
        <f>SmtRes!AE141</f>
        <v>516.94</v>
      </c>
      <c r="F53" s="63">
        <f>ROUND(SUMIF(RV_DATA!P55:RV_DATA!P75,244006434,RV_DATA!L55:RV_DATA!L75),6)</f>
        <v>2085344.23104</v>
      </c>
      <c r="AK53">
        <v>3</v>
      </c>
    </row>
    <row r="54" spans="1:37" ht="15">
      <c r="A54" s="61" t="s">
        <v>3</v>
      </c>
      <c r="B54" s="53" t="s">
        <v>403</v>
      </c>
      <c r="C54" s="53" t="s">
        <v>402</v>
      </c>
      <c r="D54" s="62">
        <f>ROUND(SUMIF(RV_DATA!P55:RV_DATA!P75,1435370899,RV_DATA!I55:RV_DATA!I75),6)</f>
        <v>440.22</v>
      </c>
      <c r="E54" s="63">
        <f>SmtRes!AE140</f>
        <v>605.35</v>
      </c>
      <c r="F54" s="63">
        <f>ROUND(SUMIF(RV_DATA!P55:RV_DATA!P75,1435370899,RV_DATA!L55:RV_DATA!L75),6)</f>
        <v>266487.177</v>
      </c>
      <c r="AK54">
        <v>3</v>
      </c>
    </row>
    <row r="55" spans="1:37" ht="15">
      <c r="A55" s="61" t="s">
        <v>3</v>
      </c>
      <c r="B55" s="53" t="s">
        <v>401</v>
      </c>
      <c r="C55" s="53" t="s">
        <v>402</v>
      </c>
      <c r="D55" s="62">
        <f>ROUND(SUMIF(RV_DATA!P55:RV_DATA!P75,-603610923,RV_DATA!I55:RV_DATA!I75),6)</f>
        <v>16.8084</v>
      </c>
      <c r="E55" s="63">
        <f>SmtRes!AE139</f>
        <v>406.5</v>
      </c>
      <c r="F55" s="63">
        <f>ROUND(SUMIF(RV_DATA!P55:RV_DATA!P75,-603610923,RV_DATA!L55:RV_DATA!L75),6)</f>
        <v>6832.6146</v>
      </c>
      <c r="AK55">
        <v>3</v>
      </c>
    </row>
    <row r="56" spans="1:37" ht="15">
      <c r="A56" s="61" t="s">
        <v>3</v>
      </c>
      <c r="B56" s="53" t="s">
        <v>400</v>
      </c>
      <c r="C56" s="53" t="s">
        <v>380</v>
      </c>
      <c r="D56" s="62">
        <f>ROUND(SUMIF(RV_DATA!P55:RV_DATA!P75,710364638,RV_DATA!I55:RV_DATA!I75),6)</f>
        <v>8937.907842</v>
      </c>
      <c r="E56" s="63">
        <f>SmtRes!AE138</f>
        <v>13.39</v>
      </c>
      <c r="F56" s="63">
        <f>ROUND(SUMIF(RV_DATA!P55:RV_DATA!P75,710364638,RV_DATA!L55:RV_DATA!L75),6)</f>
        <v>119678.585998</v>
      </c>
      <c r="AK56">
        <v>3</v>
      </c>
    </row>
    <row r="57" spans="1:37" ht="15">
      <c r="A57" s="61" t="s">
        <v>3</v>
      </c>
      <c r="B57" s="53" t="s">
        <v>399</v>
      </c>
      <c r="C57" s="53" t="s">
        <v>397</v>
      </c>
      <c r="D57" s="62">
        <f>ROUND(SUMIF(RV_DATA!P55:RV_DATA!P75,-287304068,RV_DATA!I55:RV_DATA!I75),6)</f>
        <v>1787.56</v>
      </c>
      <c r="E57" s="63">
        <f>SmtRes!AE137</f>
        <v>206.45</v>
      </c>
      <c r="F57" s="63">
        <f>ROUND(SUMIF(RV_DATA!P55:RV_DATA!P75,-287304068,RV_DATA!L55:RV_DATA!L75),6)</f>
        <v>369041.762</v>
      </c>
      <c r="AK57">
        <v>3</v>
      </c>
    </row>
    <row r="58" spans="1:37" ht="15">
      <c r="A58" s="61" t="s">
        <v>3</v>
      </c>
      <c r="B58" s="53" t="s">
        <v>398</v>
      </c>
      <c r="C58" s="53" t="s">
        <v>397</v>
      </c>
      <c r="D58" s="62">
        <f>ROUND(SUMIF(RV_DATA!P55:RV_DATA!P75,-1635408250,RV_DATA!I55:RV_DATA!I75),6)</f>
        <v>3575.12</v>
      </c>
      <c r="E58" s="63">
        <f>SmtRes!AE136</f>
        <v>262.19</v>
      </c>
      <c r="F58" s="63">
        <f>ROUND(SUMIF(RV_DATA!P55:RV_DATA!P75,-1635408250,RV_DATA!L55:RV_DATA!L75),6)</f>
        <v>937360.7128</v>
      </c>
      <c r="AK58">
        <v>3</v>
      </c>
    </row>
    <row r="59" spans="1:37" ht="15">
      <c r="A59" s="61" t="s">
        <v>3</v>
      </c>
      <c r="B59" s="53" t="s">
        <v>396</v>
      </c>
      <c r="C59" s="53" t="s">
        <v>397</v>
      </c>
      <c r="D59" s="62">
        <f>ROUND(SUMIF(RV_DATA!P55:RV_DATA!P75,1927228836,RV_DATA!I55:RV_DATA!I75),6)</f>
        <v>163.8152</v>
      </c>
      <c r="E59" s="63">
        <f>SmtRes!AE135</f>
        <v>666.32</v>
      </c>
      <c r="F59" s="63">
        <f>ROUND(SUMIF(RV_DATA!P55:RV_DATA!P75,1927228836,RV_DATA!L55:RV_DATA!L75),6)</f>
        <v>109153.344064</v>
      </c>
      <c r="AK59">
        <v>3</v>
      </c>
    </row>
    <row r="60" spans="1:37" ht="15">
      <c r="A60" s="61" t="s">
        <v>3</v>
      </c>
      <c r="B60" s="53" t="s">
        <v>395</v>
      </c>
      <c r="C60" s="53" t="s">
        <v>322</v>
      </c>
      <c r="D60" s="62">
        <f>ROUND(SUMIF(RV_DATA!P55:RV_DATA!P75,1620700903,RV_DATA!I55:RV_DATA!I75),6)</f>
        <v>3415.04</v>
      </c>
      <c r="E60" s="63">
        <f>SmtRes!AE134</f>
        <v>458.14</v>
      </c>
      <c r="F60" s="63">
        <f>ROUND(SUMIF(RV_DATA!P55:RV_DATA!P75,1620700903,RV_DATA!L55:RV_DATA!L75),6)</f>
        <v>1564566.4256</v>
      </c>
      <c r="AK60">
        <v>3</v>
      </c>
    </row>
    <row r="61" spans="1:37" ht="15">
      <c r="A61" s="61" t="s">
        <v>414</v>
      </c>
      <c r="B61" s="53" t="s">
        <v>416</v>
      </c>
      <c r="C61" s="53" t="s">
        <v>380</v>
      </c>
      <c r="D61" s="62">
        <f>ROUND(SUMIF(RV_DATA!P55:RV_DATA!P75,-1633518536,RV_DATA!I55:RV_DATA!I75),6)</f>
        <v>1008</v>
      </c>
      <c r="E61" s="63">
        <f>SmtRes!AE149</f>
        <v>3.88</v>
      </c>
      <c r="F61" s="63">
        <f>ROUND(SUMIF(RV_DATA!P55:RV_DATA!P75,-1633518536,RV_DATA!L55:RV_DATA!L75),6)</f>
        <v>3911.04</v>
      </c>
      <c r="AK61">
        <v>3</v>
      </c>
    </row>
    <row r="62" spans="1:37" ht="15">
      <c r="A62" s="61" t="s">
        <v>358</v>
      </c>
      <c r="B62" s="53" t="s">
        <v>360</v>
      </c>
      <c r="C62" s="53" t="s">
        <v>100</v>
      </c>
      <c r="D62" s="62">
        <f>ROUND(SUMIF(RV_DATA!P55:RV_DATA!P75,-873521821,RV_DATA!I55:RV_DATA!I75),6)</f>
        <v>0.00337</v>
      </c>
      <c r="E62" s="63">
        <f>SmtRes!AE115</f>
        <v>65000</v>
      </c>
      <c r="F62" s="63">
        <f>ROUND(SUMIF(RV_DATA!P55:RV_DATA!P75,-873521821,RV_DATA!L55:RV_DATA!L75),6)</f>
        <v>219.024</v>
      </c>
      <c r="AK62">
        <v>3</v>
      </c>
    </row>
    <row r="63" spans="1:37" ht="15">
      <c r="A63" s="61" t="s">
        <v>417</v>
      </c>
      <c r="B63" s="53" t="s">
        <v>419</v>
      </c>
      <c r="C63" s="53" t="s">
        <v>100</v>
      </c>
      <c r="D63" s="62">
        <f>ROUND(SUMIF(RV_DATA!P55:RV_DATA!P75,-1879407804,RV_DATA!I55:RV_DATA!I75),6)</f>
        <v>0.98784</v>
      </c>
      <c r="E63" s="63">
        <f>SmtRes!AE150</f>
        <v>47457.6</v>
      </c>
      <c r="F63" s="63">
        <f>ROUND(SUMIF(RV_DATA!P55:RV_DATA!P75,-1879407804,RV_DATA!L55:RV_DATA!L75),6)</f>
        <v>46880.515584</v>
      </c>
      <c r="AK63">
        <v>3</v>
      </c>
    </row>
    <row r="64" spans="1:37" ht="15">
      <c r="A64" s="61" t="s">
        <v>371</v>
      </c>
      <c r="B64" s="53" t="s">
        <v>373</v>
      </c>
      <c r="C64" s="53" t="s">
        <v>302</v>
      </c>
      <c r="D64" s="62">
        <f>ROUND(SUMIF(RV_DATA!P55:RV_DATA!P75,-200974332,RV_DATA!I55:RV_DATA!I75),6)</f>
        <v>1.404</v>
      </c>
      <c r="E64" s="63">
        <f>SmtRes!AE116</f>
        <v>5762.71</v>
      </c>
      <c r="F64" s="63">
        <f>ROUND(SUMIF(RV_DATA!P55:RV_DATA!P75,-200974332,RV_DATA!L55:RV_DATA!L75),6)</f>
        <v>8090.84484</v>
      </c>
      <c r="AK64">
        <v>3</v>
      </c>
    </row>
    <row r="65" spans="1:37" ht="15">
      <c r="A65" s="61" t="s">
        <v>374</v>
      </c>
      <c r="B65" s="53" t="s">
        <v>376</v>
      </c>
      <c r="C65" s="53" t="s">
        <v>322</v>
      </c>
      <c r="D65" s="62">
        <f>ROUND(SUMIF(RV_DATA!P55:RV_DATA!P75,1761276749,RV_DATA!I55:RV_DATA!I75),6)</f>
        <v>99.216</v>
      </c>
      <c r="E65" s="63">
        <f>SmtRes!AE117</f>
        <v>203.39</v>
      </c>
      <c r="F65" s="63">
        <f>ROUND(SUMIF(RV_DATA!P55:RV_DATA!P75,1761276749,RV_DATA!L55:RV_DATA!L75),6)</f>
        <v>20179.54224</v>
      </c>
      <c r="AK65">
        <v>3</v>
      </c>
    </row>
    <row r="66" spans="1:37" ht="15">
      <c r="A66" s="61" t="s">
        <v>377</v>
      </c>
      <c r="B66" s="53" t="s">
        <v>379</v>
      </c>
      <c r="C66" s="53" t="s">
        <v>380</v>
      </c>
      <c r="D66" s="62">
        <f>ROUND(SUMIF(RV_DATA!P55:RV_DATA!P75,691528774,RV_DATA!I55:RV_DATA!I75),6)</f>
        <v>93.6</v>
      </c>
      <c r="E66" s="63">
        <f>SmtRes!AE118</f>
        <v>12</v>
      </c>
      <c r="F66" s="63">
        <f>ROUND(SUMIF(RV_DATA!P55:RV_DATA!P75,691528774,RV_DATA!L55:RV_DATA!L75),6)</f>
        <v>1123.2</v>
      </c>
      <c r="AK66">
        <v>3</v>
      </c>
    </row>
    <row r="67" spans="1:37" ht="15">
      <c r="A67" s="61" t="s">
        <v>431</v>
      </c>
      <c r="B67" s="53" t="s">
        <v>433</v>
      </c>
      <c r="C67" s="53" t="s">
        <v>380</v>
      </c>
      <c r="D67" s="62">
        <f>ROUND(SUMIF(RV_DATA!P55:RV_DATA!P75,-442776700,RV_DATA!I55:RV_DATA!I75),6)</f>
        <v>4</v>
      </c>
      <c r="E67" s="63">
        <f>SmtRes!AE123</f>
        <v>2457.63</v>
      </c>
      <c r="F67" s="63">
        <f>ROUND(SUMIF(RV_DATA!P55:RV_DATA!P75,-442776700,RV_DATA!L55:RV_DATA!L75),6)</f>
        <v>9830.52</v>
      </c>
      <c r="AK67">
        <v>3</v>
      </c>
    </row>
    <row r="68" spans="1:37" ht="30">
      <c r="A68" s="61" t="s">
        <v>437</v>
      </c>
      <c r="B68" s="53" t="s">
        <v>439</v>
      </c>
      <c r="C68" s="53" t="s">
        <v>302</v>
      </c>
      <c r="D68" s="62">
        <f>ROUND(SUMIF(RV_DATA!P55:RV_DATA!P75,-1907096509,RV_DATA!I55:RV_DATA!I75),6)</f>
        <v>0.1265</v>
      </c>
      <c r="E68" s="63">
        <f>SmtRes!AE156</f>
        <v>3305.08</v>
      </c>
      <c r="F68" s="63">
        <f>ROUND(SUMIF(RV_DATA!P55:RV_DATA!P75,-1907096509,RV_DATA!L55:RV_DATA!L75),6)</f>
        <v>418.09262</v>
      </c>
      <c r="AK68">
        <v>3</v>
      </c>
    </row>
    <row r="69" spans="1:37" ht="30">
      <c r="A69" s="61" t="s">
        <v>440</v>
      </c>
      <c r="B69" s="53" t="s">
        <v>442</v>
      </c>
      <c r="C69" s="53" t="s">
        <v>443</v>
      </c>
      <c r="D69" s="62">
        <f>ROUND(SUMIF(RV_DATA!P55:RV_DATA!P75,-1164021645,RV_DATA!I55:RV_DATA!I75),6)</f>
        <v>0.201</v>
      </c>
      <c r="E69" s="63">
        <f>SmtRes!AE157</f>
        <v>10653.39</v>
      </c>
      <c r="F69" s="63">
        <f>ROUND(SUMIF(RV_DATA!P55:RV_DATA!P75,-1164021645,RV_DATA!L55:RV_DATA!L75),6)</f>
        <v>2141.33139</v>
      </c>
      <c r="AK69">
        <v>3</v>
      </c>
    </row>
    <row r="70" spans="1:6" ht="14.25">
      <c r="A70" s="124" t="s">
        <v>644</v>
      </c>
      <c r="B70" s="124"/>
      <c r="C70" s="124"/>
      <c r="D70" s="124"/>
      <c r="E70" s="125">
        <f>SUMIF(AK49:AK69,3,F49:F69)</f>
        <v>6014483.189360001</v>
      </c>
      <c r="F70" s="125"/>
    </row>
    <row r="72" spans="1:35" ht="16.5">
      <c r="A72" s="126" t="str">
        <f>CONCATENATE("Итого по объекту: ",IF(Source!G124&lt;&gt;"Новый объект",Source!G124,""))</f>
        <v>Итого по объекту: помещение 1113 кровля вариант2</v>
      </c>
      <c r="B72" s="127"/>
      <c r="C72" s="127"/>
      <c r="D72" s="127"/>
      <c r="E72" s="127"/>
      <c r="F72" s="128"/>
      <c r="AI72" s="59" t="s">
        <v>646</v>
      </c>
    </row>
    <row r="73" spans="1:6" ht="14.25">
      <c r="A73" s="124" t="s">
        <v>644</v>
      </c>
      <c r="B73" s="124"/>
      <c r="C73" s="124"/>
      <c r="D73" s="124"/>
      <c r="E73" s="125">
        <f>SUMIF(AK1:AK72,3,F1:F72)</f>
        <v>7799899.061008001</v>
      </c>
      <c r="F73" s="125"/>
    </row>
    <row r="74" spans="1:6" ht="15" customHeight="1" hidden="1">
      <c r="A74" s="124" t="s">
        <v>647</v>
      </c>
      <c r="B74" s="124"/>
      <c r="C74" s="124"/>
      <c r="D74" s="124"/>
      <c r="E74" s="125">
        <f>SUMIF(AK1:AK73,4,F1:F73)</f>
        <v>0</v>
      </c>
      <c r="F74" s="125"/>
    </row>
  </sheetData>
  <sheetProtection/>
  <mergeCells count="20">
    <mergeCell ref="A70:D70"/>
    <mergeCell ref="E70:F70"/>
    <mergeCell ref="A72:F72"/>
    <mergeCell ref="A73:D73"/>
    <mergeCell ref="E73:F73"/>
    <mergeCell ref="A74:D74"/>
    <mergeCell ref="E74:F74"/>
    <mergeCell ref="A8:F8"/>
    <mergeCell ref="A9:F9"/>
    <mergeCell ref="A46:D46"/>
    <mergeCell ref="E46:F46"/>
    <mergeCell ref="A47:F47"/>
    <mergeCell ref="A48:F48"/>
    <mergeCell ref="A2:F2"/>
    <mergeCell ref="A3:F3"/>
    <mergeCell ref="A4:A6"/>
    <mergeCell ref="B4:B6"/>
    <mergeCell ref="C4:C6"/>
    <mergeCell ref="D4:D6"/>
    <mergeCell ref="E4:F5"/>
  </mergeCells>
  <printOptions/>
  <pageMargins left="0.6" right="0.4" top="0.65" bottom="0.4" header="0.4" footer="0.4"/>
  <pageSetup horizontalDpi="600" verticalDpi="600" orientation="portrait" paperSize="9" scale="96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29">
      <selection activeCell="A33" sqref="A33:E33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customWidth="1"/>
    <col min="31" max="31" width="129.7109375" style="0" customWidth="1"/>
  </cols>
  <sheetData>
    <row r="1" spans="1:5" ht="14.25">
      <c r="A1" s="14"/>
      <c r="B1" s="14"/>
      <c r="C1" s="14"/>
      <c r="D1" s="14"/>
      <c r="E1" s="14"/>
    </row>
    <row r="2" spans="1:5" ht="15">
      <c r="A2" s="14"/>
      <c r="B2" s="14"/>
      <c r="C2" s="130" t="s">
        <v>648</v>
      </c>
      <c r="D2" s="130"/>
      <c r="E2" s="14"/>
    </row>
    <row r="3" spans="1:5" ht="15">
      <c r="A3" s="14"/>
      <c r="B3" s="14"/>
      <c r="C3" s="64"/>
      <c r="D3" s="64"/>
      <c r="E3" s="14"/>
    </row>
    <row r="4" spans="1:5" ht="15">
      <c r="A4" s="14"/>
      <c r="B4" s="14"/>
      <c r="C4" s="131"/>
      <c r="D4" s="131"/>
      <c r="E4" s="14"/>
    </row>
    <row r="5" spans="1:5" ht="15">
      <c r="A5" s="14"/>
      <c r="B5" s="14"/>
      <c r="C5" s="65"/>
      <c r="D5" s="65"/>
      <c r="E5" s="14"/>
    </row>
    <row r="6" spans="1:5" ht="15">
      <c r="A6" s="14"/>
      <c r="B6" s="14"/>
      <c r="C6" s="131"/>
      <c r="D6" s="131"/>
      <c r="E6" s="14"/>
    </row>
    <row r="7" spans="1:5" ht="15">
      <c r="A7" s="14"/>
      <c r="B7" s="14"/>
      <c r="C7" s="65"/>
      <c r="D7" s="65"/>
      <c r="E7" s="14"/>
    </row>
    <row r="8" spans="1:5" ht="15">
      <c r="A8" s="14"/>
      <c r="B8" s="130" t="s">
        <v>649</v>
      </c>
      <c r="C8" s="130"/>
      <c r="D8" s="66"/>
      <c r="E8" s="14"/>
    </row>
    <row r="9" spans="1:5" ht="14.25">
      <c r="A9" s="14"/>
      <c r="B9" s="14"/>
      <c r="C9" s="14"/>
      <c r="D9" s="14"/>
      <c r="E9" s="14"/>
    </row>
    <row r="10" spans="1:5" ht="14.25">
      <c r="A10" s="14"/>
      <c r="B10" s="14"/>
      <c r="C10" s="14"/>
      <c r="D10" s="14"/>
      <c r="E10" s="14"/>
    </row>
    <row r="11" spans="1:30" ht="15.75">
      <c r="A11" s="132" t="str">
        <f>CONCATENATE("Дефектный акт ",IF(Source!AN15&lt;&gt;"",Source!AN15," "))</f>
        <v>Дефектный акт  </v>
      </c>
      <c r="B11" s="132"/>
      <c r="C11" s="132"/>
      <c r="D11" s="132"/>
      <c r="E11" s="14"/>
      <c r="AD11" s="67" t="str">
        <f>CONCATENATE("Дефектный акт ",IF(Source!AN15&lt;&gt;"",Source!AN15," "))</f>
        <v>Дефектный акт  </v>
      </c>
    </row>
    <row r="12" spans="1:30" ht="15">
      <c r="A12" s="133" t="str">
        <f>CONCATENATE("На капитальный ремонт ",Source!F12)</f>
        <v>На капитальный ремонт Новый объект</v>
      </c>
      <c r="B12" s="133"/>
      <c r="C12" s="133"/>
      <c r="D12" s="133"/>
      <c r="E12" s="14"/>
      <c r="AD12" s="68" t="str">
        <f>CONCATENATE("На капитальный ремонт ",Source!F12)</f>
        <v>На капитальный ремонт Новый объект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69" t="s">
        <v>650</v>
      </c>
      <c r="C14" s="14"/>
      <c r="D14" s="14"/>
      <c r="E14" s="14"/>
    </row>
    <row r="15" spans="1:5" ht="15">
      <c r="A15" s="14"/>
      <c r="B15" s="69" t="s">
        <v>651</v>
      </c>
      <c r="C15" s="14"/>
      <c r="D15" s="14"/>
      <c r="E15" s="14"/>
    </row>
    <row r="16" spans="1:5" ht="15">
      <c r="A16" s="14"/>
      <c r="B16" s="69" t="s">
        <v>652</v>
      </c>
      <c r="C16" s="14"/>
      <c r="D16" s="14"/>
      <c r="E16" s="14"/>
    </row>
    <row r="17" spans="1:5" ht="28.5">
      <c r="A17" s="70" t="s">
        <v>535</v>
      </c>
      <c r="B17" s="70" t="s">
        <v>653</v>
      </c>
      <c r="C17" s="70" t="s">
        <v>538</v>
      </c>
      <c r="D17" s="70" t="s">
        <v>539</v>
      </c>
      <c r="E17" s="71" t="s">
        <v>654</v>
      </c>
    </row>
    <row r="18" spans="1:5" ht="14.25">
      <c r="A18" s="73">
        <v>1</v>
      </c>
      <c r="B18" s="73">
        <v>2</v>
      </c>
      <c r="C18" s="73">
        <v>3</v>
      </c>
      <c r="D18" s="73">
        <v>4</v>
      </c>
      <c r="E18" s="74">
        <v>5</v>
      </c>
    </row>
    <row r="19" spans="1:31" ht="16.5">
      <c r="A19" s="129" t="str">
        <f>CONCATENATE("Локальная смета: ",Source!G20)</f>
        <v>Локальная смета: Ремонт кровли фонаря в осях (3-12)(Д-Е); (И-К)</v>
      </c>
      <c r="B19" s="129"/>
      <c r="C19" s="129"/>
      <c r="D19" s="129"/>
      <c r="E19" s="129"/>
      <c r="AE19" s="72" t="str">
        <f>CONCATENATE("Локальная смета: ",Source!G20)</f>
        <v>Локальная смета: Ремонт кровли фонаря в осях (3-12)(Д-Е); (И-К)</v>
      </c>
    </row>
    <row r="20" spans="1:5" ht="28.5">
      <c r="A20" s="79" t="str">
        <f>Source!E24</f>
        <v>1</v>
      </c>
      <c r="B20" s="80" t="str">
        <f>Source!G24</f>
        <v>Разборка покрытий кровель из волнистых и полуволнистых асбестоцементных листов</v>
      </c>
      <c r="C20" s="81" t="str">
        <f>Source!H24</f>
        <v>100 м2 покрытия</v>
      </c>
      <c r="D20" s="82">
        <f>Source!I24</f>
        <v>0.6</v>
      </c>
      <c r="E20" s="79"/>
    </row>
    <row r="21" spans="1:5" ht="42.75">
      <c r="A21" s="79" t="str">
        <f>Source!E25</f>
        <v>2</v>
      </c>
      <c r="B21" s="80" t="str">
        <f>Source!G25</f>
        <v>Разборка каркаса из досок</v>
      </c>
      <c r="C21" s="81" t="str">
        <f>Source!H25</f>
        <v>1 м3 древесины в конструкции</v>
      </c>
      <c r="D21" s="82">
        <f>Source!I25</f>
        <v>10.6</v>
      </c>
      <c r="E21" s="79"/>
    </row>
    <row r="22" spans="1:5" ht="28.5">
      <c r="A22" s="79" t="str">
        <f>Source!E26</f>
        <v>3</v>
      </c>
      <c r="B22" s="80" t="str">
        <f>Source!G26</f>
        <v>Монтаж кровельного покрытия из профилированного листа при высоте здания до 25 м</v>
      </c>
      <c r="C22" s="81" t="str">
        <f>Source!H26</f>
        <v>100 м2 покрытия</v>
      </c>
      <c r="D22" s="82">
        <f>Source!I26</f>
        <v>0.628</v>
      </c>
      <c r="E22" s="79"/>
    </row>
    <row r="23" spans="1:5" ht="14.25">
      <c r="A23" s="79" t="str">
        <f>Source!E27</f>
        <v>4</v>
      </c>
      <c r="B23" s="80" t="str">
        <f>Source!G27</f>
        <v>Резка стального профилированного настила</v>
      </c>
      <c r="C23" s="81" t="str">
        <f>Source!H27</f>
        <v>1 м реза</v>
      </c>
      <c r="D23" s="82">
        <f>Source!I27</f>
        <v>12</v>
      </c>
      <c r="E23" s="79"/>
    </row>
    <row r="24" spans="1:5" ht="42.75">
      <c r="A24" s="79" t="str">
        <f>Source!E28</f>
        <v>5</v>
      </c>
      <c r="B24" s="80" t="str">
        <f>Source!G28</f>
        <v>Устройство пароизоляции оклеечной в один слой</v>
      </c>
      <c r="C24" s="81" t="str">
        <f>Source!H28</f>
        <v>100 м2 изолируемой поверхности</v>
      </c>
      <c r="D24" s="82">
        <f>Source!I28</f>
        <v>0.628</v>
      </c>
      <c r="E24" s="79"/>
    </row>
    <row r="25" spans="1:5" ht="42.75">
      <c r="A25" s="79" t="str">
        <f>Source!E29</f>
        <v>6</v>
      </c>
      <c r="B25" s="80" t="str">
        <f>Source!G29</f>
        <v>Утепление покрытий плитами из минеральной ваты или перлита на битумной мастике в один слой</v>
      </c>
      <c r="C25" s="81" t="str">
        <f>Source!H29</f>
        <v>100 м2 утепляемого покрытия</v>
      </c>
      <c r="D25" s="82">
        <f>Source!I29</f>
        <v>1.64</v>
      </c>
      <c r="E25" s="79"/>
    </row>
    <row r="26" spans="1:5" ht="42.75">
      <c r="A26" s="79" t="str">
        <f>Source!E30</f>
        <v>7</v>
      </c>
      <c r="B26" s="80" t="str">
        <f>Source!G30</f>
        <v>Утепление покрытий плитами на каждый последующий слой добавлять к расценке 12-01-013-03</v>
      </c>
      <c r="C26" s="81" t="str">
        <f>Source!H30</f>
        <v>100 м2 утепляемого покрытия</v>
      </c>
      <c r="D26" s="82">
        <f>Source!I30</f>
        <v>1.64</v>
      </c>
      <c r="E26" s="79"/>
    </row>
    <row r="27" spans="1:5" ht="28.5">
      <c r="A27" s="79" t="str">
        <f>Source!E31</f>
        <v>9</v>
      </c>
      <c r="B27" s="80" t="str">
        <f>Source!G31</f>
        <v>Устройство металлического каркаса из уголка под фонарный свес</v>
      </c>
      <c r="C27" s="81" t="str">
        <f>Source!H31</f>
        <v>1 т конструкций</v>
      </c>
      <c r="D27" s="82">
        <f>Source!I31</f>
        <v>1.44</v>
      </c>
      <c r="E27" s="79"/>
    </row>
    <row r="28" spans="1:5" ht="99.75">
      <c r="A28" s="79" t="str">
        <f>Source!E32</f>
        <v>10</v>
      </c>
      <c r="B28" s="80" t="str">
        <f>Source!G32</f>
        <v>Устройство фонарного свеса</v>
      </c>
      <c r="C28" s="81" t="str">
        <f>Source!H32</f>
        <v>100 м2 стен, фронтонов (за вычетом проемов) и развернутых поверхностей карнизов</v>
      </c>
      <c r="D28" s="82">
        <f>Source!I32</f>
        <v>1.444</v>
      </c>
      <c r="E28" s="79"/>
    </row>
    <row r="29" spans="1:5" ht="28.5">
      <c r="A29" s="79" t="str">
        <f>Source!E33</f>
        <v>11</v>
      </c>
      <c r="B29" s="80" t="str">
        <f>Source!G33</f>
        <v>Устройство однослойной кровли и примыканий  из полимерного рулонного материала.</v>
      </c>
      <c r="C29" s="81" t="str">
        <f>Source!H33</f>
        <v>100 м2 кровли</v>
      </c>
      <c r="D29" s="82">
        <f>Source!I33</f>
        <v>6.73</v>
      </c>
      <c r="E29" s="79"/>
    </row>
    <row r="30" spans="1:5" ht="28.5">
      <c r="A30" s="79" t="str">
        <f>Source!E34</f>
        <v>12</v>
      </c>
      <c r="B30" s="80" t="str">
        <f>Source!G34</f>
        <v>Смена мелких покрытий из листовой стали в кровлях из рулонных и штучных материалов карнизных свесов</v>
      </c>
      <c r="C30" s="81" t="str">
        <f>Source!H34</f>
        <v>100 м покрытия</v>
      </c>
      <c r="D30" s="82">
        <f>Source!I34</f>
        <v>1.806</v>
      </c>
      <c r="E30" s="79"/>
    </row>
    <row r="31" spans="1:5" ht="42.75">
      <c r="A31" s="79" t="str">
        <f>Source!E35</f>
        <v>13</v>
      </c>
      <c r="B31" s="80" t="str">
        <f>Source!G35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C31" s="81" t="str">
        <f>Source!H35</f>
        <v>т</v>
      </c>
      <c r="D31" s="82">
        <f>Source!I35</f>
        <v>17</v>
      </c>
      <c r="E31" s="79"/>
    </row>
    <row r="32" spans="1:5" ht="28.5">
      <c r="A32" s="79" t="str">
        <f>Source!E36</f>
        <v>14</v>
      </c>
      <c r="B32" s="80" t="str">
        <f>Source!G36</f>
        <v>Погрузка: Мусор   строительный   с   погрузкой   экскаваторами емкостью ковша до 0,5мЗ</v>
      </c>
      <c r="C32" s="81" t="str">
        <f>Source!H36</f>
        <v>т</v>
      </c>
      <c r="D32" s="82">
        <f>Source!I36</f>
        <v>17</v>
      </c>
      <c r="E32" s="79"/>
    </row>
    <row r="33" spans="1:31" ht="16.5">
      <c r="A33" s="129" t="str">
        <f>CONCATENATE("Локальная смета: ",Source!G74)</f>
        <v>Локальная смета: Ремонт кровли корпуса №20 в осях  (1-9) (Г-Ж)</v>
      </c>
      <c r="B33" s="129"/>
      <c r="C33" s="129"/>
      <c r="D33" s="129"/>
      <c r="E33" s="129"/>
      <c r="AE33" s="72" t="str">
        <f>CONCATENATE("Локальная смета: ",Source!G74)</f>
        <v>Локальная смета: Ремонт кровли корпуса №20 в осях  (1-9) (Г-Ж)</v>
      </c>
    </row>
    <row r="34" spans="1:5" ht="28.5">
      <c r="A34" s="79" t="str">
        <f>Source!E78</f>
        <v>1</v>
      </c>
      <c r="B34" s="80" t="str">
        <f>Source!G78</f>
        <v>Разборка покрытий примыканий кровель из рулонных материалов</v>
      </c>
      <c r="C34" s="81" t="str">
        <f>Source!H78</f>
        <v>100 м2 покрытия</v>
      </c>
      <c r="D34" s="82">
        <f>Source!I78</f>
        <v>0.696</v>
      </c>
      <c r="E34" s="79"/>
    </row>
    <row r="35" spans="1:5" ht="99.75">
      <c r="A35" s="79" t="str">
        <f>Source!E79</f>
        <v>2</v>
      </c>
      <c r="B35" s="80" t="str">
        <f>Source!G79</f>
        <v>Устройство каркаса примыканий парапета</v>
      </c>
      <c r="C35" s="81" t="str">
        <f>Source!H79</f>
        <v>100 м2 стен, фронтонов (за вычетом проемов) и развернутых поверхностей карнизов</v>
      </c>
      <c r="D35" s="82">
        <f>Source!I79</f>
        <v>0.936</v>
      </c>
      <c r="E35" s="79"/>
    </row>
    <row r="36" spans="1:5" ht="14.25">
      <c r="A36" s="79" t="str">
        <f>Source!E80</f>
        <v>3</v>
      </c>
      <c r="B36" s="80" t="str">
        <f>Source!G80</f>
        <v>Демонтаж воронок водосточных</v>
      </c>
      <c r="C36" s="81" t="str">
        <f>Source!H80</f>
        <v>1 воронка</v>
      </c>
      <c r="D36" s="82">
        <f>Source!I80</f>
        <v>4</v>
      </c>
      <c r="E36" s="79"/>
    </row>
    <row r="37" spans="1:5" ht="14.25">
      <c r="A37" s="79" t="str">
        <f>Source!E81</f>
        <v>4</v>
      </c>
      <c r="B37" s="80" t="str">
        <f>Source!G81</f>
        <v>Установка воронок водосточных</v>
      </c>
      <c r="C37" s="81" t="str">
        <f>Source!H81</f>
        <v>1 воронка</v>
      </c>
      <c r="D37" s="82">
        <f>Source!I81</f>
        <v>4</v>
      </c>
      <c r="E37" s="79"/>
    </row>
    <row r="38" spans="1:5" ht="28.5">
      <c r="A38" s="79" t="str">
        <f>Source!E82</f>
        <v>5</v>
      </c>
      <c r="B38" s="80" t="str">
        <f>Source!G82</f>
        <v>Устройство однослойной кровли и примыканий  из полимерного рулонного материала.</v>
      </c>
      <c r="C38" s="81" t="str">
        <f>Source!H82</f>
        <v>100 м2 кровли</v>
      </c>
      <c r="D38" s="82">
        <f>Source!I82</f>
        <v>26.68</v>
      </c>
      <c r="E38" s="79"/>
    </row>
    <row r="39" spans="1:5" ht="28.5">
      <c r="A39" s="79" t="str">
        <f>Source!E83</f>
        <v>6</v>
      </c>
      <c r="B39" s="80" t="str">
        <f>Source!G83</f>
        <v>Смена мелких покрытий из листовой стали в кровлях из рулонных и штучных материалов карнизных свесов</v>
      </c>
      <c r="C39" s="81" t="str">
        <f>Source!H83</f>
        <v>100 м покрытия</v>
      </c>
      <c r="D39" s="82">
        <f>Source!I83</f>
        <v>3.36</v>
      </c>
      <c r="E39" s="79"/>
    </row>
    <row r="40" spans="1:5" ht="14.25">
      <c r="A40" s="79" t="str">
        <f>Source!E84</f>
        <v>7</v>
      </c>
      <c r="B40" s="80" t="str">
        <f>Source!G84</f>
        <v>Ремонт кирпичной кладки стен отдельными местами</v>
      </c>
      <c r="C40" s="81" t="str">
        <f>Source!H84</f>
        <v>1 м3 кладки</v>
      </c>
      <c r="D40" s="82">
        <f>Source!I84</f>
        <v>0.5</v>
      </c>
      <c r="E40" s="79"/>
    </row>
    <row r="41" spans="1:5" ht="42.75">
      <c r="A41" s="79" t="str">
        <f>Source!E85</f>
        <v>8</v>
      </c>
      <c r="B41" s="80" t="str">
        <f>Source!G85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C41" s="81" t="str">
        <f>Source!H85</f>
        <v>т</v>
      </c>
      <c r="D41" s="82">
        <f>Source!I85</f>
        <v>1</v>
      </c>
      <c r="E41" s="79"/>
    </row>
    <row r="42" spans="1:5" ht="28.5">
      <c r="A42" s="75" t="str">
        <f>Source!E86</f>
        <v>9</v>
      </c>
      <c r="B42" s="76" t="str">
        <f>Source!G86</f>
        <v>Погрузка: Мусор   строительный   с   погрузкой   экскаваторами емкостью ковша до 0,5мЗ</v>
      </c>
      <c r="C42" s="77" t="str">
        <f>Source!H86</f>
        <v>т</v>
      </c>
      <c r="D42" s="78">
        <f>Source!I86</f>
        <v>1</v>
      </c>
      <c r="E42" s="75"/>
    </row>
    <row r="45" spans="1:5" ht="15">
      <c r="A45" s="83" t="s">
        <v>655</v>
      </c>
      <c r="B45" s="83"/>
      <c r="C45" s="83" t="s">
        <v>656</v>
      </c>
      <c r="D45" s="83"/>
      <c r="E45" s="83"/>
    </row>
  </sheetData>
  <sheetProtection/>
  <mergeCells count="8">
    <mergeCell ref="A19:E19"/>
    <mergeCell ref="A33:E33"/>
    <mergeCell ref="C2:D2"/>
    <mergeCell ref="C4:D4"/>
    <mergeCell ref="C6:D6"/>
    <mergeCell ref="B8:C8"/>
    <mergeCell ref="A11:D11"/>
    <mergeCell ref="A12:D12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74"/>
  <sheetViews>
    <sheetView zoomScalePageLayoutView="0" workbookViewId="0" topLeftCell="A49">
      <selection activeCell="N28" sqref="N28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6" width="12.7109375" style="0" customWidth="1"/>
    <col min="15" max="15" width="103.7109375" style="0" hidden="1" customWidth="1"/>
    <col min="16" max="17" width="0" style="0" hidden="1" customWidth="1"/>
  </cols>
  <sheetData>
    <row r="2" spans="1:15" ht="16.5">
      <c r="A2" s="134" t="s">
        <v>634</v>
      </c>
      <c r="B2" s="135"/>
      <c r="C2" s="135"/>
      <c r="D2" s="135"/>
      <c r="E2" s="135"/>
      <c r="F2" s="135"/>
      <c r="O2" s="84" t="s">
        <v>634</v>
      </c>
    </row>
    <row r="3" spans="1:15" ht="16.5">
      <c r="A3" s="134" t="str">
        <f>CONCATENATE("Объект: ",IF(Source!G124&lt;&gt;"Новый объект",Source!G124,""))</f>
        <v>Объект: помещение 1113 кровля вариант2</v>
      </c>
      <c r="B3" s="135"/>
      <c r="C3" s="135"/>
      <c r="D3" s="135"/>
      <c r="E3" s="135"/>
      <c r="F3" s="135"/>
      <c r="O3" s="84" t="s">
        <v>635</v>
      </c>
    </row>
    <row r="4" spans="1:6" ht="12.75">
      <c r="A4" s="136" t="s">
        <v>636</v>
      </c>
      <c r="B4" s="136" t="s">
        <v>637</v>
      </c>
      <c r="C4" s="136" t="s">
        <v>538</v>
      </c>
      <c r="D4" s="136" t="s">
        <v>638</v>
      </c>
      <c r="E4" s="139" t="s">
        <v>639</v>
      </c>
      <c r="F4" s="140"/>
    </row>
    <row r="5" spans="1:6" ht="12.75">
      <c r="A5" s="137"/>
      <c r="B5" s="137"/>
      <c r="C5" s="137"/>
      <c r="D5" s="137"/>
      <c r="E5" s="141"/>
      <c r="F5" s="142"/>
    </row>
    <row r="6" spans="1:6" ht="14.25">
      <c r="A6" s="138"/>
      <c r="B6" s="138"/>
      <c r="C6" s="138"/>
      <c r="D6" s="138"/>
      <c r="E6" s="70" t="s">
        <v>640</v>
      </c>
      <c r="F6" s="70" t="s">
        <v>641</v>
      </c>
    </row>
    <row r="7" spans="1:6" ht="14.2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</row>
    <row r="8" spans="1:15" ht="16.5">
      <c r="A8" s="134" t="str">
        <f>CONCATENATE("Локальная смета: ",IF(Source!G22&lt;&gt;"Новая локальная смета",Source!G22,""))</f>
        <v>Локальная смета: Ремонт кровли фонаря в осях (3-12)(Д-Е); (И-К)</v>
      </c>
      <c r="B8" s="135"/>
      <c r="C8" s="135"/>
      <c r="D8" s="135"/>
      <c r="E8" s="135"/>
      <c r="F8" s="135"/>
      <c r="O8" s="84" t="s">
        <v>642</v>
      </c>
    </row>
    <row r="9" spans="1:6" ht="14.25">
      <c r="A9" s="143" t="s">
        <v>643</v>
      </c>
      <c r="B9" s="144"/>
      <c r="C9" s="144"/>
      <c r="D9" s="144"/>
      <c r="E9" s="144"/>
      <c r="F9" s="144"/>
    </row>
    <row r="10" spans="1:17" ht="14.25">
      <c r="A10" s="85" t="s">
        <v>3</v>
      </c>
      <c r="B10" s="76" t="s">
        <v>353</v>
      </c>
      <c r="C10" s="76" t="s">
        <v>351</v>
      </c>
      <c r="D10" s="77">
        <f>ROUND(SUMIF(RV_DATA!P7:RV_DATA!P53,933539357,RV_DATA!I7:RV_DATA!I53),6)</f>
        <v>1230</v>
      </c>
      <c r="E10" s="86">
        <f>SmtRes!AE44</f>
        <v>1.56</v>
      </c>
      <c r="F10" s="86">
        <f>ROUND(SUMIF(RV_DATA!P7:RV_DATA!P53,933539357,RV_DATA!L7:RV_DATA!L53),6)</f>
        <v>1918.8</v>
      </c>
      <c r="Q10">
        <v>3</v>
      </c>
    </row>
    <row r="11" spans="1:17" ht="14.25">
      <c r="A11" s="85" t="s">
        <v>3</v>
      </c>
      <c r="B11" s="76" t="s">
        <v>352</v>
      </c>
      <c r="C11" s="76" t="s">
        <v>351</v>
      </c>
      <c r="D11" s="77">
        <f>ROUND(SUMIF(RV_DATA!P7:RV_DATA!P53,988805957,RV_DATA!I7:RV_DATA!I53),6)</f>
        <v>1230</v>
      </c>
      <c r="E11" s="86">
        <f>SmtRes!AE43</f>
        <v>0.69</v>
      </c>
      <c r="F11" s="86">
        <f>ROUND(SUMIF(RV_DATA!P7:RV_DATA!P53,988805957,RV_DATA!L7:RV_DATA!L53),6)</f>
        <v>848.7</v>
      </c>
      <c r="Q11">
        <v>3</v>
      </c>
    </row>
    <row r="12" spans="1:17" ht="14.25">
      <c r="A12" s="85" t="s">
        <v>3</v>
      </c>
      <c r="B12" s="76" t="s">
        <v>350</v>
      </c>
      <c r="C12" s="76" t="s">
        <v>351</v>
      </c>
      <c r="D12" s="77">
        <f>ROUND(SUMIF(RV_DATA!P7:RV_DATA!P53,1136289382,RV_DATA!I7:RV_DATA!I53),6)</f>
        <v>1230</v>
      </c>
      <c r="E12" s="86">
        <f>SmtRes!AE42</f>
        <v>4.75</v>
      </c>
      <c r="F12" s="86">
        <f>ROUND(SUMIF(RV_DATA!P7:RV_DATA!P53,1136289382,RV_DATA!L7:RV_DATA!L53),6)</f>
        <v>5842.5</v>
      </c>
      <c r="Q12">
        <v>3</v>
      </c>
    </row>
    <row r="13" spans="1:17" ht="14.25">
      <c r="A13" s="85" t="s">
        <v>3</v>
      </c>
      <c r="B13" s="76" t="s">
        <v>408</v>
      </c>
      <c r="C13" s="76">
        <v>0</v>
      </c>
      <c r="D13" s="77">
        <f>ROUND(SUMIF(RV_DATA!P7:RV_DATA!P53,81358912,RV_DATA!I7:RV_DATA!I53),6)</f>
        <v>23.55772</v>
      </c>
      <c r="E13" s="86">
        <f>SmtRes!AE101</f>
        <v>52.32</v>
      </c>
      <c r="F13" s="86">
        <f>ROUND(SUMIF(RV_DATA!P7:RV_DATA!P53,81358912,RV_DATA!L7:RV_DATA!L53),6)</f>
        <v>1232.539926</v>
      </c>
      <c r="Q13">
        <v>3</v>
      </c>
    </row>
    <row r="14" spans="1:17" ht="14.25">
      <c r="A14" s="85" t="s">
        <v>3</v>
      </c>
      <c r="B14" s="76" t="s">
        <v>407</v>
      </c>
      <c r="C14" s="76" t="s">
        <v>380</v>
      </c>
      <c r="D14" s="77">
        <f>ROUND(SUMIF(RV_DATA!P7:RV_DATA!P53,697700550,RV_DATA!I7:RV_DATA!I53),6)</f>
        <v>80.76</v>
      </c>
      <c r="E14" s="86">
        <f>SmtRes!AE100</f>
        <v>621.34</v>
      </c>
      <c r="F14" s="86">
        <f>ROUND(SUMIF(RV_DATA!P7:RV_DATA!P53,697700550,RV_DATA!L7:RV_DATA!L53),6)</f>
        <v>50179.4184</v>
      </c>
      <c r="Q14">
        <v>3</v>
      </c>
    </row>
    <row r="15" spans="1:17" ht="14.25">
      <c r="A15" s="85" t="s">
        <v>3</v>
      </c>
      <c r="B15" s="76" t="s">
        <v>406</v>
      </c>
      <c r="C15" s="76" t="s">
        <v>380</v>
      </c>
      <c r="D15" s="77">
        <f>ROUND(SUMIF(RV_DATA!P7:RV_DATA!P53,-917312507,RV_DATA!I7:RV_DATA!I53),6)</f>
        <v>1346</v>
      </c>
      <c r="E15" s="86">
        <f>SmtRes!AE99</f>
        <v>1.78</v>
      </c>
      <c r="F15" s="86">
        <f>ROUND(SUMIF(RV_DATA!P7:RV_DATA!P53,-917312507,RV_DATA!L7:RV_DATA!L53),6)</f>
        <v>2395.88</v>
      </c>
      <c r="Q15">
        <v>3</v>
      </c>
    </row>
    <row r="16" spans="1:17" ht="14.25">
      <c r="A16" s="85" t="s">
        <v>3</v>
      </c>
      <c r="B16" s="76" t="s">
        <v>405</v>
      </c>
      <c r="C16" s="76" t="s">
        <v>397</v>
      </c>
      <c r="D16" s="77">
        <f>ROUND(SUMIF(RV_DATA!P7:RV_DATA!P53,-979024299,RV_DATA!I7:RV_DATA!I53),6)</f>
        <v>378.845864</v>
      </c>
      <c r="E16" s="86">
        <f>SmtRes!AE98</f>
        <v>166.4</v>
      </c>
      <c r="F16" s="86">
        <f>ROUND(SUMIF(RV_DATA!P7:RV_DATA!P53,-979024299,RV_DATA!L7:RV_DATA!L53),6)</f>
        <v>63039.951711</v>
      </c>
      <c r="Q16">
        <v>3</v>
      </c>
    </row>
    <row r="17" spans="1:17" ht="14.25">
      <c r="A17" s="85" t="s">
        <v>3</v>
      </c>
      <c r="B17" s="76" t="s">
        <v>404</v>
      </c>
      <c r="C17" s="76" t="s">
        <v>402</v>
      </c>
      <c r="D17" s="77">
        <f>ROUND(SUMIF(RV_DATA!P7:RV_DATA!P53,244006434,RV_DATA!I7:RV_DATA!I53),6)</f>
        <v>1017.576</v>
      </c>
      <c r="E17" s="86">
        <f>SmtRes!AE97</f>
        <v>516.94</v>
      </c>
      <c r="F17" s="86">
        <f>ROUND(SUMIF(RV_DATA!P7:RV_DATA!P53,244006434,RV_DATA!L7:RV_DATA!L53),6)</f>
        <v>526025.73744</v>
      </c>
      <c r="Q17">
        <v>3</v>
      </c>
    </row>
    <row r="18" spans="1:17" ht="14.25">
      <c r="A18" s="85" t="s">
        <v>3</v>
      </c>
      <c r="B18" s="76" t="s">
        <v>403</v>
      </c>
      <c r="C18" s="76" t="s">
        <v>402</v>
      </c>
      <c r="D18" s="77">
        <f>ROUND(SUMIF(RV_DATA!P7:RV_DATA!P53,1435370899,RV_DATA!I7:RV_DATA!I53),6)</f>
        <v>111.045</v>
      </c>
      <c r="E18" s="86">
        <f>SmtRes!AE96</f>
        <v>605.35</v>
      </c>
      <c r="F18" s="86">
        <f>ROUND(SUMIF(RV_DATA!P7:RV_DATA!P53,1435370899,RV_DATA!L7:RV_DATA!L53),6)</f>
        <v>67221.09075</v>
      </c>
      <c r="Q18">
        <v>3</v>
      </c>
    </row>
    <row r="19" spans="1:17" ht="14.25">
      <c r="A19" s="85" t="s">
        <v>3</v>
      </c>
      <c r="B19" s="76" t="s">
        <v>401</v>
      </c>
      <c r="C19" s="76" t="s">
        <v>402</v>
      </c>
      <c r="D19" s="77">
        <f>ROUND(SUMIF(RV_DATA!P7:RV_DATA!P53,-603610923,RV_DATA!I7:RV_DATA!I53),6)</f>
        <v>4.2399</v>
      </c>
      <c r="E19" s="86">
        <f>SmtRes!AE95</f>
        <v>406.5</v>
      </c>
      <c r="F19" s="86">
        <f>ROUND(SUMIF(RV_DATA!P7:RV_DATA!P53,-603610923,RV_DATA!L7:RV_DATA!L53),6)</f>
        <v>1723.51935</v>
      </c>
      <c r="Q19">
        <v>3</v>
      </c>
    </row>
    <row r="20" spans="1:17" ht="14.25">
      <c r="A20" s="85" t="s">
        <v>3</v>
      </c>
      <c r="B20" s="76" t="s">
        <v>400</v>
      </c>
      <c r="C20" s="76" t="s">
        <v>380</v>
      </c>
      <c r="D20" s="77">
        <f>ROUND(SUMIF(RV_DATA!P7:RV_DATA!P53,710364638,RV_DATA!I7:RV_DATA!I53),6)</f>
        <v>2254.577203</v>
      </c>
      <c r="E20" s="86">
        <f>SmtRes!AE94</f>
        <v>13.39</v>
      </c>
      <c r="F20" s="86">
        <f>ROUND(SUMIF(RV_DATA!P7:RV_DATA!P53,710364638,RV_DATA!L7:RV_DATA!L53),6)</f>
        <v>30188.788747</v>
      </c>
      <c r="Q20">
        <v>3</v>
      </c>
    </row>
    <row r="21" spans="1:17" ht="14.25">
      <c r="A21" s="85" t="s">
        <v>3</v>
      </c>
      <c r="B21" s="76" t="s">
        <v>399</v>
      </c>
      <c r="C21" s="76" t="s">
        <v>397</v>
      </c>
      <c r="D21" s="77">
        <f>ROUND(SUMIF(RV_DATA!P7:RV_DATA!P53,-287304068,RV_DATA!I7:RV_DATA!I53),6)</f>
        <v>450.91</v>
      </c>
      <c r="E21" s="86">
        <f>SmtRes!AE93</f>
        <v>206.45</v>
      </c>
      <c r="F21" s="86">
        <f>ROUND(SUMIF(RV_DATA!P7:RV_DATA!P53,-287304068,RV_DATA!L7:RV_DATA!L53),6)</f>
        <v>93090.3695</v>
      </c>
      <c r="Q21">
        <v>3</v>
      </c>
    </row>
    <row r="22" spans="1:17" ht="28.5">
      <c r="A22" s="85" t="s">
        <v>3</v>
      </c>
      <c r="B22" s="76" t="s">
        <v>398</v>
      </c>
      <c r="C22" s="76" t="s">
        <v>397</v>
      </c>
      <c r="D22" s="77">
        <f>ROUND(SUMIF(RV_DATA!P7:RV_DATA!P53,-1635408250,RV_DATA!I7:RV_DATA!I53),6)</f>
        <v>901.82</v>
      </c>
      <c r="E22" s="86">
        <f>SmtRes!AE92</f>
        <v>262.19</v>
      </c>
      <c r="F22" s="86">
        <f>ROUND(SUMIF(RV_DATA!P7:RV_DATA!P53,-1635408250,RV_DATA!L7:RV_DATA!L53),6)</f>
        <v>236448.1858</v>
      </c>
      <c r="Q22">
        <v>3</v>
      </c>
    </row>
    <row r="23" spans="1:17" ht="14.25">
      <c r="A23" s="85" t="s">
        <v>3</v>
      </c>
      <c r="B23" s="76" t="s">
        <v>396</v>
      </c>
      <c r="C23" s="76" t="s">
        <v>397</v>
      </c>
      <c r="D23" s="77">
        <f>ROUND(SUMIF(RV_DATA!P7:RV_DATA!P53,1927228836,RV_DATA!I7:RV_DATA!I53),6)</f>
        <v>41.3222</v>
      </c>
      <c r="E23" s="86">
        <f>SmtRes!AE91</f>
        <v>666.32</v>
      </c>
      <c r="F23" s="86">
        <f>ROUND(SUMIF(RV_DATA!P7:RV_DATA!P53,1927228836,RV_DATA!L7:RV_DATA!L53),6)</f>
        <v>27533.808304</v>
      </c>
      <c r="Q23">
        <v>3</v>
      </c>
    </row>
    <row r="24" spans="1:17" ht="14.25">
      <c r="A24" s="85" t="s">
        <v>3</v>
      </c>
      <c r="B24" s="76" t="s">
        <v>395</v>
      </c>
      <c r="C24" s="76" t="s">
        <v>322</v>
      </c>
      <c r="D24" s="77">
        <f>ROUND(SUMIF(RV_DATA!P7:RV_DATA!P53,1620700903,RV_DATA!I7:RV_DATA!I53),6)</f>
        <v>861.44</v>
      </c>
      <c r="E24" s="86">
        <f>SmtRes!AE90</f>
        <v>458.14</v>
      </c>
      <c r="F24" s="86">
        <f>ROUND(SUMIF(RV_DATA!P7:RV_DATA!P53,1620700903,RV_DATA!L7:RV_DATA!L53),6)</f>
        <v>394660.1216</v>
      </c>
      <c r="Q24">
        <v>3</v>
      </c>
    </row>
    <row r="25" spans="1:17" ht="14.25">
      <c r="A25" s="85" t="s">
        <v>299</v>
      </c>
      <c r="B25" s="76" t="s">
        <v>301</v>
      </c>
      <c r="C25" s="76" t="s">
        <v>302</v>
      </c>
      <c r="D25" s="77">
        <f>ROUND(SUMIF(RV_DATA!P7:RV_DATA!P53,-1234444586,RV_DATA!I7:RV_DATA!I53),6)</f>
        <v>2.6072</v>
      </c>
      <c r="E25" s="86">
        <f>SmtRes!AE18</f>
        <v>43</v>
      </c>
      <c r="F25" s="86">
        <f>ROUND(SUMIF(RV_DATA!P7:RV_DATA!P53,-1234444586,RV_DATA!L7:RV_DATA!L53),6)</f>
        <v>112.1096</v>
      </c>
      <c r="Q25">
        <v>3</v>
      </c>
    </row>
    <row r="26" spans="1:17" ht="14.25">
      <c r="A26" s="85" t="s">
        <v>342</v>
      </c>
      <c r="B26" s="76" t="s">
        <v>344</v>
      </c>
      <c r="C26" s="76" t="s">
        <v>100</v>
      </c>
      <c r="D26" s="77">
        <f>ROUND(SUMIF(RV_DATA!P7:RV_DATA!P53,-928458332,RV_DATA!I7:RV_DATA!I53),6)</f>
        <v>0.123088</v>
      </c>
      <c r="E26" s="86">
        <f>SmtRes!AE35</f>
        <v>88135.59</v>
      </c>
      <c r="F26" s="86">
        <f>ROUND(SUMIF(RV_DATA!P7:RV_DATA!P53,-928458332,RV_DATA!L7:RV_DATA!L53),6)</f>
        <v>10848.433502</v>
      </c>
      <c r="Q26">
        <v>3</v>
      </c>
    </row>
    <row r="27" spans="1:17" ht="14.25">
      <c r="A27" s="85" t="s">
        <v>414</v>
      </c>
      <c r="B27" s="76" t="s">
        <v>416</v>
      </c>
      <c r="C27" s="76" t="s">
        <v>380</v>
      </c>
      <c r="D27" s="77">
        <f>ROUND(SUMIF(RV_DATA!P7:RV_DATA!P53,-1633518536,RV_DATA!I7:RV_DATA!I53),6)</f>
        <v>541.8</v>
      </c>
      <c r="E27" s="86">
        <f>SmtRes!AE105</f>
        <v>3.88</v>
      </c>
      <c r="F27" s="86">
        <f>ROUND(SUMIF(RV_DATA!P7:RV_DATA!P53,-1633518536,RV_DATA!L7:RV_DATA!L53),6)</f>
        <v>2102.184</v>
      </c>
      <c r="Q27">
        <v>3</v>
      </c>
    </row>
    <row r="28" spans="1:17" ht="28.5">
      <c r="A28" s="85" t="s">
        <v>303</v>
      </c>
      <c r="B28" s="76" t="s">
        <v>305</v>
      </c>
      <c r="C28" s="76" t="s">
        <v>100</v>
      </c>
      <c r="D28" s="77">
        <f>ROUND(SUMIF(RV_DATA!P7:RV_DATA!P53,-1045687378,RV_DATA!I7:RV_DATA!I53),6)</f>
        <v>6.8E-05</v>
      </c>
      <c r="E28" s="86">
        <f>SmtRes!AE19</f>
        <v>68136</v>
      </c>
      <c r="F28" s="86">
        <f>ROUND(SUMIF(RV_DATA!P7:RV_DATA!P53,-1045687378,RV_DATA!L7:RV_DATA!L53),6)</f>
        <v>4.655052</v>
      </c>
      <c r="Q28">
        <v>3</v>
      </c>
    </row>
    <row r="29" spans="1:17" ht="14.25">
      <c r="A29" s="85" t="s">
        <v>345</v>
      </c>
      <c r="B29" s="76" t="s">
        <v>347</v>
      </c>
      <c r="C29" s="76" t="s">
        <v>322</v>
      </c>
      <c r="D29" s="77">
        <f>ROUND(SUMIF(RV_DATA!P7:RV_DATA!P53,1550977401,RV_DATA!I7:RV_DATA!I53),6)</f>
        <v>69.08</v>
      </c>
      <c r="E29" s="86">
        <f>SmtRes!AE36</f>
        <v>63.47</v>
      </c>
      <c r="F29" s="86">
        <f>ROUND(SUMIF(RV_DATA!P7:RV_DATA!P53,1550977401,RV_DATA!L7:RV_DATA!L53),6)</f>
        <v>4384.5076</v>
      </c>
      <c r="Q29">
        <v>3</v>
      </c>
    </row>
    <row r="30" spans="1:17" ht="14.25">
      <c r="A30" s="85" t="s">
        <v>306</v>
      </c>
      <c r="B30" s="76" t="s">
        <v>308</v>
      </c>
      <c r="C30" s="76" t="s">
        <v>100</v>
      </c>
      <c r="D30" s="77">
        <f>ROUND(SUMIF(RV_DATA!P7:RV_DATA!P53,923707930,RV_DATA!I7:RV_DATA!I53),6)</f>
        <v>0.001017</v>
      </c>
      <c r="E30" s="86">
        <f>SmtRes!AE20</f>
        <v>73728.6</v>
      </c>
      <c r="F30" s="86">
        <f>ROUND(SUMIF(RV_DATA!P7:RV_DATA!P53,923707930,RV_DATA!L7:RV_DATA!L53),6)</f>
        <v>74.958393</v>
      </c>
      <c r="Q30">
        <v>3</v>
      </c>
    </row>
    <row r="31" spans="1:17" ht="28.5">
      <c r="A31" s="85" t="s">
        <v>309</v>
      </c>
      <c r="B31" s="76" t="s">
        <v>311</v>
      </c>
      <c r="C31" s="76" t="s">
        <v>100</v>
      </c>
      <c r="D31" s="77">
        <f>ROUND(SUMIF(RV_DATA!P7:RV_DATA!P53,-81566705,RV_DATA!I7:RV_DATA!I53),6)</f>
        <v>0.031622</v>
      </c>
      <c r="E31" s="86">
        <f>SmtRes!AE21</f>
        <v>98305.08</v>
      </c>
      <c r="F31" s="86">
        <f>ROUND(SUMIF(RV_DATA!P7:RV_DATA!P53,-81566705,RV_DATA!L7:RV_DATA!L53),6)</f>
        <v>3108.563918</v>
      </c>
      <c r="Q31">
        <v>3</v>
      </c>
    </row>
    <row r="32" spans="1:17" ht="14.25">
      <c r="A32" s="85" t="s">
        <v>358</v>
      </c>
      <c r="B32" s="76" t="s">
        <v>360</v>
      </c>
      <c r="C32" s="76" t="s">
        <v>100</v>
      </c>
      <c r="D32" s="77">
        <f>ROUND(SUMIF(RV_DATA!P7:RV_DATA!P53,-1241865664,RV_DATA!I7:RV_DATA!I53),6)</f>
        <v>1.4E-05</v>
      </c>
      <c r="E32" s="86">
        <f>SmtRes!AE67</f>
        <v>65000</v>
      </c>
      <c r="F32" s="86">
        <f>ROUND(SUMIF(RV_DATA!P7:RV_DATA!P53,-1241865664,RV_DATA!L7:RV_DATA!L53),6)</f>
        <v>0.936</v>
      </c>
      <c r="Q32">
        <v>3</v>
      </c>
    </row>
    <row r="33" spans="1:17" ht="14.25">
      <c r="A33" s="85" t="s">
        <v>358</v>
      </c>
      <c r="B33" s="76" t="s">
        <v>360</v>
      </c>
      <c r="C33" s="76" t="s">
        <v>100</v>
      </c>
      <c r="D33" s="77">
        <f>ROUND(SUMIF(RV_DATA!P7:RV_DATA!P53,-873521821,RV_DATA!I7:RV_DATA!I53),6)</f>
        <v>0.005198</v>
      </c>
      <c r="E33" s="86">
        <f>SmtRes!AE76</f>
        <v>65000</v>
      </c>
      <c r="F33" s="86">
        <f>ROUND(SUMIF(RV_DATA!P7:RV_DATA!P53,-873521821,RV_DATA!L7:RV_DATA!L53),6)</f>
        <v>337.896</v>
      </c>
      <c r="Q33">
        <v>3</v>
      </c>
    </row>
    <row r="34" spans="1:17" ht="14.25">
      <c r="A34" s="85" t="s">
        <v>417</v>
      </c>
      <c r="B34" s="76" t="s">
        <v>419</v>
      </c>
      <c r="C34" s="76" t="s">
        <v>100</v>
      </c>
      <c r="D34" s="77">
        <f>ROUND(SUMIF(RV_DATA!P7:RV_DATA!P53,-1879407804,RV_DATA!I7:RV_DATA!I53),6)</f>
        <v>0.530964</v>
      </c>
      <c r="E34" s="86">
        <f>SmtRes!AE106</f>
        <v>47457.6</v>
      </c>
      <c r="F34" s="86">
        <f>ROUND(SUMIF(RV_DATA!P7:RV_DATA!P53,-1879407804,RV_DATA!L7:RV_DATA!L53),6)</f>
        <v>25198.277126</v>
      </c>
      <c r="Q34">
        <v>3</v>
      </c>
    </row>
    <row r="35" spans="1:17" ht="14.25">
      <c r="A35" s="85" t="s">
        <v>312</v>
      </c>
      <c r="B35" s="76" t="s">
        <v>314</v>
      </c>
      <c r="C35" s="76" t="s">
        <v>315</v>
      </c>
      <c r="D35" s="77">
        <f>ROUND(SUMIF(RV_DATA!P7:RV_DATA!P53,-894429062,RV_DATA!I7:RV_DATA!I53),6)</f>
        <v>0.78216</v>
      </c>
      <c r="E35" s="86">
        <f>SmtRes!AE22</f>
        <v>35</v>
      </c>
      <c r="F35" s="86">
        <f>ROUND(SUMIF(RV_DATA!P7:RV_DATA!P53,-894429062,RV_DATA!L7:RV_DATA!L53),6)</f>
        <v>27.3756</v>
      </c>
      <c r="Q35">
        <v>3</v>
      </c>
    </row>
    <row r="36" spans="1:17" ht="14.25">
      <c r="A36" s="85" t="s">
        <v>316</v>
      </c>
      <c r="B36" s="76" t="s">
        <v>318</v>
      </c>
      <c r="C36" s="76" t="s">
        <v>100</v>
      </c>
      <c r="D36" s="77">
        <f>ROUND(SUMIF(RV_DATA!P7:RV_DATA!P53,1525141026,RV_DATA!I7:RV_DATA!I53),6)</f>
        <v>0.000921</v>
      </c>
      <c r="E36" s="86">
        <f>SmtRes!AE23</f>
        <v>132200</v>
      </c>
      <c r="F36" s="86">
        <f>ROUND(SUMIF(RV_DATA!P7:RV_DATA!P53,1525141026,RV_DATA!L7:RV_DATA!L53),6)</f>
        <v>121.692744</v>
      </c>
      <c r="Q36">
        <v>3</v>
      </c>
    </row>
    <row r="37" spans="1:17" ht="28.5">
      <c r="A37" s="85" t="s">
        <v>319</v>
      </c>
      <c r="B37" s="76" t="s">
        <v>321</v>
      </c>
      <c r="C37" s="76" t="s">
        <v>322</v>
      </c>
      <c r="D37" s="77">
        <f>ROUND(SUMIF(RV_DATA!P7:RV_DATA!P53,-1791394818,RV_DATA!I7:RV_DATA!I53),6)</f>
        <v>72.22</v>
      </c>
      <c r="E37" s="86">
        <f>SmtRes!AE24</f>
        <v>237.29</v>
      </c>
      <c r="F37" s="86">
        <f>ROUND(SUMIF(RV_DATA!P7:RV_DATA!P53,-1791394818,RV_DATA!L7:RV_DATA!L53),6)</f>
        <v>17137.0838</v>
      </c>
      <c r="Q37">
        <v>3</v>
      </c>
    </row>
    <row r="38" spans="1:17" ht="42.75">
      <c r="A38" s="85" t="s">
        <v>323</v>
      </c>
      <c r="B38" s="76" t="s">
        <v>325</v>
      </c>
      <c r="C38" s="76" t="s">
        <v>302</v>
      </c>
      <c r="D38" s="77">
        <f>ROUND(SUMIF(RV_DATA!P7:RV_DATA!P53,-1716790132,RV_DATA!I7:RV_DATA!I53),6)</f>
        <v>0.0023</v>
      </c>
      <c r="E38" s="86">
        <f>SmtRes!AE25</f>
        <v>5762.71</v>
      </c>
      <c r="F38" s="86">
        <f>ROUND(SUMIF(RV_DATA!P7:RV_DATA!P53,-1716790132,RV_DATA!L7:RV_DATA!L53),6)</f>
        <v>13.251928</v>
      </c>
      <c r="Q38">
        <v>3</v>
      </c>
    </row>
    <row r="39" spans="1:17" ht="14.25">
      <c r="A39" s="85" t="s">
        <v>371</v>
      </c>
      <c r="B39" s="76" t="s">
        <v>373</v>
      </c>
      <c r="C39" s="76" t="s">
        <v>302</v>
      </c>
      <c r="D39" s="77">
        <f>ROUND(SUMIF(RV_DATA!P7:RV_DATA!P53,-200974332,RV_DATA!I7:RV_DATA!I53),6)</f>
        <v>2.166</v>
      </c>
      <c r="E39" s="86">
        <f>SmtRes!AE77</f>
        <v>5762.71</v>
      </c>
      <c r="F39" s="86">
        <f>ROUND(SUMIF(RV_DATA!P7:RV_DATA!P53,-200974332,RV_DATA!L7:RV_DATA!L53),6)</f>
        <v>12482.02986</v>
      </c>
      <c r="Q39">
        <v>3</v>
      </c>
    </row>
    <row r="40" spans="1:17" ht="14.25">
      <c r="A40" s="85" t="s">
        <v>374</v>
      </c>
      <c r="B40" s="76" t="s">
        <v>376</v>
      </c>
      <c r="C40" s="76" t="s">
        <v>322</v>
      </c>
      <c r="D40" s="77">
        <f>ROUND(SUMIF(RV_DATA!P7:RV_DATA!P53,1761276749,RV_DATA!I7:RV_DATA!I53),6)</f>
        <v>153.064</v>
      </c>
      <c r="E40" s="86">
        <f>SmtRes!AE78</f>
        <v>203.39</v>
      </c>
      <c r="F40" s="86">
        <f>ROUND(SUMIF(RV_DATA!P7:RV_DATA!P53,1761276749,RV_DATA!L7:RV_DATA!L53),6)</f>
        <v>31131.68696</v>
      </c>
      <c r="Q40">
        <v>3</v>
      </c>
    </row>
    <row r="41" spans="1:17" ht="14.25">
      <c r="A41" s="85" t="s">
        <v>354</v>
      </c>
      <c r="B41" s="76" t="s">
        <v>356</v>
      </c>
      <c r="C41" s="76" t="s">
        <v>302</v>
      </c>
      <c r="D41" s="77">
        <f>ROUND(SUMIF(RV_DATA!P7:RV_DATA!P53,73249437,RV_DATA!I7:RV_DATA!I53),6)</f>
        <v>10.1352</v>
      </c>
      <c r="E41" s="86">
        <f>SmtRes!AE45</f>
        <v>3946.75</v>
      </c>
      <c r="F41" s="86">
        <f>ROUND(SUMIF(RV_DATA!P7:RV_DATA!P53,73249437,RV_DATA!L7:RV_DATA!L53),6)</f>
        <v>40001.1006</v>
      </c>
      <c r="Q41">
        <v>3</v>
      </c>
    </row>
    <row r="42" spans="1:17" ht="14.25">
      <c r="A42" s="85" t="s">
        <v>354</v>
      </c>
      <c r="B42" s="76" t="s">
        <v>357</v>
      </c>
      <c r="C42" s="76" t="s">
        <v>302</v>
      </c>
      <c r="D42" s="77">
        <f>ROUND(SUMIF(RV_DATA!P7:RV_DATA!P53,760547883,RV_DATA!I7:RV_DATA!I53),6)</f>
        <v>13.5136</v>
      </c>
      <c r="E42" s="86">
        <f>SmtRes!AE54</f>
        <v>6544.07</v>
      </c>
      <c r="F42" s="86">
        <f>ROUND(SUMIF(RV_DATA!P7:RV_DATA!P53,760547883,RV_DATA!L7:RV_DATA!L53),6)</f>
        <v>88433.944352</v>
      </c>
      <c r="Q42">
        <v>3</v>
      </c>
    </row>
    <row r="43" spans="1:17" ht="14.25">
      <c r="A43" s="85" t="s">
        <v>326</v>
      </c>
      <c r="B43" s="76" t="s">
        <v>328</v>
      </c>
      <c r="C43" s="76" t="s">
        <v>100</v>
      </c>
      <c r="D43" s="77">
        <f>ROUND(SUMIF(RV_DATA!P7:RV_DATA!P53,-485462817,RV_DATA!I7:RV_DATA!I53),6)</f>
        <v>0.000742</v>
      </c>
      <c r="E43" s="86">
        <f>SmtRes!AE26</f>
        <v>67779.66</v>
      </c>
      <c r="F43" s="86">
        <f>ROUND(SUMIF(RV_DATA!P7:RV_DATA!P53,-485462817,RV_DATA!L7:RV_DATA!L53),6)</f>
        <v>50.262685</v>
      </c>
      <c r="Q43">
        <v>3</v>
      </c>
    </row>
    <row r="44" spans="1:17" ht="14.25">
      <c r="A44" s="85" t="s">
        <v>361</v>
      </c>
      <c r="B44" s="76" t="s">
        <v>363</v>
      </c>
      <c r="C44" s="76" t="s">
        <v>100</v>
      </c>
      <c r="D44" s="77">
        <f>ROUND(SUMIF(RV_DATA!P7:RV_DATA!P53,-277471956,RV_DATA!I7:RV_DATA!I53),6)</f>
        <v>1.44</v>
      </c>
      <c r="E44" s="86">
        <f>SmtRes!AE72</f>
        <v>31779.66</v>
      </c>
      <c r="F44" s="86">
        <f>ROUND(SUMIF(RV_DATA!P7:RV_DATA!P53,-277471956,RV_DATA!L7:RV_DATA!L53),6)</f>
        <v>45762.7104</v>
      </c>
      <c r="Q44">
        <v>3</v>
      </c>
    </row>
    <row r="45" spans="1:17" ht="14.25">
      <c r="A45" s="85" t="s">
        <v>377</v>
      </c>
      <c r="B45" s="76" t="s">
        <v>379</v>
      </c>
      <c r="C45" s="76" t="s">
        <v>380</v>
      </c>
      <c r="D45" s="77">
        <f>ROUND(SUMIF(RV_DATA!P7:RV_DATA!P53,691528774,RV_DATA!I7:RV_DATA!I53),6)</f>
        <v>144.4</v>
      </c>
      <c r="E45" s="86">
        <f>SmtRes!AE79</f>
        <v>12</v>
      </c>
      <c r="F45" s="86">
        <f>ROUND(SUMIF(RV_DATA!P7:RV_DATA!P53,691528774,RV_DATA!L7:RV_DATA!L53),6)</f>
        <v>1732.8</v>
      </c>
      <c r="Q45">
        <v>3</v>
      </c>
    </row>
    <row r="46" spans="1:6" ht="15">
      <c r="A46" s="145" t="s">
        <v>644</v>
      </c>
      <c r="B46" s="145"/>
      <c r="C46" s="145"/>
      <c r="D46" s="145"/>
      <c r="E46" s="146">
        <f>SUMIF(Q10:Q45,3,F10:F45)</f>
        <v>1785415.8716479999</v>
      </c>
      <c r="F46" s="146"/>
    </row>
    <row r="47" spans="1:15" ht="16.5">
      <c r="A47" s="134" t="str">
        <f>CONCATENATE("Локальная смета: ",IF(Source!G76&lt;&gt;"Новая локальная смета",Source!G76,""))</f>
        <v>Локальная смета: Ремонт кровли корпуса №20 в осях  (1-9) (Г-Ж)</v>
      </c>
      <c r="B47" s="135"/>
      <c r="C47" s="135"/>
      <c r="D47" s="135"/>
      <c r="E47" s="135"/>
      <c r="F47" s="135"/>
      <c r="O47" s="84" t="s">
        <v>645</v>
      </c>
    </row>
    <row r="48" spans="1:6" ht="14.25">
      <c r="A48" s="143" t="s">
        <v>643</v>
      </c>
      <c r="B48" s="144"/>
      <c r="C48" s="144"/>
      <c r="D48" s="144"/>
      <c r="E48" s="144"/>
      <c r="F48" s="144"/>
    </row>
    <row r="49" spans="1:17" ht="14.25">
      <c r="A49" s="85" t="s">
        <v>3</v>
      </c>
      <c r="B49" s="76" t="s">
        <v>408</v>
      </c>
      <c r="C49" s="76">
        <v>0</v>
      </c>
      <c r="D49" s="77">
        <f>ROUND(SUMIF(RV_DATA!P55:RV_DATA!P75,81358912,RV_DATA!I55:RV_DATA!I75),6)</f>
        <v>93.390784</v>
      </c>
      <c r="E49" s="86">
        <f>SmtRes!AE145</f>
        <v>52.32</v>
      </c>
      <c r="F49" s="86">
        <f>ROUND(SUMIF(RV_DATA!P55:RV_DATA!P75,81358912,RV_DATA!L55:RV_DATA!L75),6)</f>
        <v>4886.205827</v>
      </c>
      <c r="Q49">
        <v>3</v>
      </c>
    </row>
    <row r="50" spans="1:17" ht="14.25">
      <c r="A50" s="85" t="s">
        <v>3</v>
      </c>
      <c r="B50" s="76" t="s">
        <v>407</v>
      </c>
      <c r="C50" s="76" t="s">
        <v>380</v>
      </c>
      <c r="D50" s="77">
        <f>ROUND(SUMIF(RV_DATA!P55:RV_DATA!P75,697700550,RV_DATA!I55:RV_DATA!I75),6)</f>
        <v>320.16</v>
      </c>
      <c r="E50" s="86">
        <f>SmtRes!AE144</f>
        <v>621.34</v>
      </c>
      <c r="F50" s="86">
        <f>ROUND(SUMIF(RV_DATA!P55:RV_DATA!P75,697700550,RV_DATA!L55:RV_DATA!L75),6)</f>
        <v>198928.2144</v>
      </c>
      <c r="Q50">
        <v>3</v>
      </c>
    </row>
    <row r="51" spans="1:17" ht="14.25">
      <c r="A51" s="85" t="s">
        <v>3</v>
      </c>
      <c r="B51" s="76" t="s">
        <v>406</v>
      </c>
      <c r="C51" s="76" t="s">
        <v>380</v>
      </c>
      <c r="D51" s="77">
        <f>ROUND(SUMIF(RV_DATA!P55:RV_DATA!P75,-917312507,RV_DATA!I55:RV_DATA!I75),6)</f>
        <v>5336</v>
      </c>
      <c r="E51" s="86">
        <f>SmtRes!AE143</f>
        <v>1.78</v>
      </c>
      <c r="F51" s="86">
        <f>ROUND(SUMIF(RV_DATA!P55:RV_DATA!P75,-917312507,RV_DATA!L55:RV_DATA!L75),6)</f>
        <v>9498.08</v>
      </c>
      <c r="Q51">
        <v>3</v>
      </c>
    </row>
    <row r="52" spans="1:17" ht="14.25">
      <c r="A52" s="85" t="s">
        <v>3</v>
      </c>
      <c r="B52" s="76" t="s">
        <v>405</v>
      </c>
      <c r="C52" s="76" t="s">
        <v>397</v>
      </c>
      <c r="D52" s="77">
        <f>ROUND(SUMIF(RV_DATA!P55:RV_DATA!P75,-979024299,RV_DATA!I55:RV_DATA!I75),6)</f>
        <v>1501.87335</v>
      </c>
      <c r="E52" s="86">
        <f>SmtRes!AE142</f>
        <v>166.4</v>
      </c>
      <c r="F52" s="86">
        <f>ROUND(SUMIF(RV_DATA!P55:RV_DATA!P75,-979024299,RV_DATA!L55:RV_DATA!L75),6)</f>
        <v>249911.725357</v>
      </c>
      <c r="Q52">
        <v>3</v>
      </c>
    </row>
    <row r="53" spans="1:17" ht="14.25">
      <c r="A53" s="85" t="s">
        <v>3</v>
      </c>
      <c r="B53" s="76" t="s">
        <v>404</v>
      </c>
      <c r="C53" s="76" t="s">
        <v>402</v>
      </c>
      <c r="D53" s="77">
        <f>ROUND(SUMIF(RV_DATA!P55:RV_DATA!P75,244006434,RV_DATA!I55:RV_DATA!I75),6)</f>
        <v>4034.016</v>
      </c>
      <c r="E53" s="86">
        <f>SmtRes!AE141</f>
        <v>516.94</v>
      </c>
      <c r="F53" s="86">
        <f>ROUND(SUMIF(RV_DATA!P55:RV_DATA!P75,244006434,RV_DATA!L55:RV_DATA!L75),6)</f>
        <v>2085344.23104</v>
      </c>
      <c r="Q53">
        <v>3</v>
      </c>
    </row>
    <row r="54" spans="1:17" ht="14.25">
      <c r="A54" s="85" t="s">
        <v>3</v>
      </c>
      <c r="B54" s="76" t="s">
        <v>403</v>
      </c>
      <c r="C54" s="76" t="s">
        <v>402</v>
      </c>
      <c r="D54" s="77">
        <f>ROUND(SUMIF(RV_DATA!P55:RV_DATA!P75,1435370899,RV_DATA!I55:RV_DATA!I75),6)</f>
        <v>440.22</v>
      </c>
      <c r="E54" s="86">
        <f>SmtRes!AE140</f>
        <v>605.35</v>
      </c>
      <c r="F54" s="86">
        <f>ROUND(SUMIF(RV_DATA!P55:RV_DATA!P75,1435370899,RV_DATA!L55:RV_DATA!L75),6)</f>
        <v>266487.177</v>
      </c>
      <c r="Q54">
        <v>3</v>
      </c>
    </row>
    <row r="55" spans="1:17" ht="14.25">
      <c r="A55" s="85" t="s">
        <v>3</v>
      </c>
      <c r="B55" s="76" t="s">
        <v>401</v>
      </c>
      <c r="C55" s="76" t="s">
        <v>402</v>
      </c>
      <c r="D55" s="77">
        <f>ROUND(SUMIF(RV_DATA!P55:RV_DATA!P75,-603610923,RV_DATA!I55:RV_DATA!I75),6)</f>
        <v>16.8084</v>
      </c>
      <c r="E55" s="86">
        <f>SmtRes!AE139</f>
        <v>406.5</v>
      </c>
      <c r="F55" s="86">
        <f>ROUND(SUMIF(RV_DATA!P55:RV_DATA!P75,-603610923,RV_DATA!L55:RV_DATA!L75),6)</f>
        <v>6832.6146</v>
      </c>
      <c r="Q55">
        <v>3</v>
      </c>
    </row>
    <row r="56" spans="1:17" ht="14.25">
      <c r="A56" s="85" t="s">
        <v>3</v>
      </c>
      <c r="B56" s="76" t="s">
        <v>400</v>
      </c>
      <c r="C56" s="76" t="s">
        <v>380</v>
      </c>
      <c r="D56" s="77">
        <f>ROUND(SUMIF(RV_DATA!P55:RV_DATA!P75,710364638,RV_DATA!I55:RV_DATA!I75),6)</f>
        <v>8937.907842</v>
      </c>
      <c r="E56" s="86">
        <f>SmtRes!AE138</f>
        <v>13.39</v>
      </c>
      <c r="F56" s="86">
        <f>ROUND(SUMIF(RV_DATA!P55:RV_DATA!P75,710364638,RV_DATA!L55:RV_DATA!L75),6)</f>
        <v>119678.585998</v>
      </c>
      <c r="Q56">
        <v>3</v>
      </c>
    </row>
    <row r="57" spans="1:17" ht="14.25">
      <c r="A57" s="85" t="s">
        <v>3</v>
      </c>
      <c r="B57" s="76" t="s">
        <v>399</v>
      </c>
      <c r="C57" s="76" t="s">
        <v>397</v>
      </c>
      <c r="D57" s="77">
        <f>ROUND(SUMIF(RV_DATA!P55:RV_DATA!P75,-287304068,RV_DATA!I55:RV_DATA!I75),6)</f>
        <v>1787.56</v>
      </c>
      <c r="E57" s="86">
        <f>SmtRes!AE137</f>
        <v>206.45</v>
      </c>
      <c r="F57" s="86">
        <f>ROUND(SUMIF(RV_DATA!P55:RV_DATA!P75,-287304068,RV_DATA!L55:RV_DATA!L75),6)</f>
        <v>369041.762</v>
      </c>
      <c r="Q57">
        <v>3</v>
      </c>
    </row>
    <row r="58" spans="1:17" ht="28.5">
      <c r="A58" s="85" t="s">
        <v>3</v>
      </c>
      <c r="B58" s="76" t="s">
        <v>398</v>
      </c>
      <c r="C58" s="76" t="s">
        <v>397</v>
      </c>
      <c r="D58" s="77">
        <f>ROUND(SUMIF(RV_DATA!P55:RV_DATA!P75,-1635408250,RV_DATA!I55:RV_DATA!I75),6)</f>
        <v>3575.12</v>
      </c>
      <c r="E58" s="86">
        <f>SmtRes!AE136</f>
        <v>262.19</v>
      </c>
      <c r="F58" s="86">
        <f>ROUND(SUMIF(RV_DATA!P55:RV_DATA!P75,-1635408250,RV_DATA!L55:RV_DATA!L75),6)</f>
        <v>937360.7128</v>
      </c>
      <c r="Q58">
        <v>3</v>
      </c>
    </row>
    <row r="59" spans="1:17" ht="14.25">
      <c r="A59" s="85" t="s">
        <v>3</v>
      </c>
      <c r="B59" s="76" t="s">
        <v>396</v>
      </c>
      <c r="C59" s="76" t="s">
        <v>397</v>
      </c>
      <c r="D59" s="77">
        <f>ROUND(SUMIF(RV_DATA!P55:RV_DATA!P75,1927228836,RV_DATA!I55:RV_DATA!I75),6)</f>
        <v>163.8152</v>
      </c>
      <c r="E59" s="86">
        <f>SmtRes!AE135</f>
        <v>666.32</v>
      </c>
      <c r="F59" s="86">
        <f>ROUND(SUMIF(RV_DATA!P55:RV_DATA!P75,1927228836,RV_DATA!L55:RV_DATA!L75),6)</f>
        <v>109153.344064</v>
      </c>
      <c r="Q59">
        <v>3</v>
      </c>
    </row>
    <row r="60" spans="1:17" ht="14.25">
      <c r="A60" s="85" t="s">
        <v>3</v>
      </c>
      <c r="B60" s="76" t="s">
        <v>395</v>
      </c>
      <c r="C60" s="76" t="s">
        <v>322</v>
      </c>
      <c r="D60" s="77">
        <f>ROUND(SUMIF(RV_DATA!P55:RV_DATA!P75,1620700903,RV_DATA!I55:RV_DATA!I75),6)</f>
        <v>3415.04</v>
      </c>
      <c r="E60" s="86">
        <f>SmtRes!AE134</f>
        <v>458.14</v>
      </c>
      <c r="F60" s="86">
        <f>ROUND(SUMIF(RV_DATA!P55:RV_DATA!P75,1620700903,RV_DATA!L55:RV_DATA!L75),6)</f>
        <v>1564566.4256</v>
      </c>
      <c r="Q60">
        <v>3</v>
      </c>
    </row>
    <row r="61" spans="1:17" ht="14.25">
      <c r="A61" s="85" t="s">
        <v>414</v>
      </c>
      <c r="B61" s="76" t="s">
        <v>416</v>
      </c>
      <c r="C61" s="76" t="s">
        <v>380</v>
      </c>
      <c r="D61" s="77">
        <f>ROUND(SUMIF(RV_DATA!P55:RV_DATA!P75,-1633518536,RV_DATA!I55:RV_DATA!I75),6)</f>
        <v>1008</v>
      </c>
      <c r="E61" s="86">
        <f>SmtRes!AE149</f>
        <v>3.88</v>
      </c>
      <c r="F61" s="86">
        <f>ROUND(SUMIF(RV_DATA!P55:RV_DATA!P75,-1633518536,RV_DATA!L55:RV_DATA!L75),6)</f>
        <v>3911.04</v>
      </c>
      <c r="Q61">
        <v>3</v>
      </c>
    </row>
    <row r="62" spans="1:17" ht="14.25">
      <c r="A62" s="85" t="s">
        <v>358</v>
      </c>
      <c r="B62" s="76" t="s">
        <v>360</v>
      </c>
      <c r="C62" s="76" t="s">
        <v>100</v>
      </c>
      <c r="D62" s="77">
        <f>ROUND(SUMIF(RV_DATA!P55:RV_DATA!P75,-873521821,RV_DATA!I55:RV_DATA!I75),6)</f>
        <v>0.00337</v>
      </c>
      <c r="E62" s="86">
        <f>SmtRes!AE115</f>
        <v>65000</v>
      </c>
      <c r="F62" s="86">
        <f>ROUND(SUMIF(RV_DATA!P55:RV_DATA!P75,-873521821,RV_DATA!L55:RV_DATA!L75),6)</f>
        <v>219.024</v>
      </c>
      <c r="Q62">
        <v>3</v>
      </c>
    </row>
    <row r="63" spans="1:17" ht="14.25">
      <c r="A63" s="85" t="s">
        <v>417</v>
      </c>
      <c r="B63" s="76" t="s">
        <v>419</v>
      </c>
      <c r="C63" s="76" t="s">
        <v>100</v>
      </c>
      <c r="D63" s="77">
        <f>ROUND(SUMIF(RV_DATA!P55:RV_DATA!P75,-1879407804,RV_DATA!I55:RV_DATA!I75),6)</f>
        <v>0.98784</v>
      </c>
      <c r="E63" s="86">
        <f>SmtRes!AE150</f>
        <v>47457.6</v>
      </c>
      <c r="F63" s="86">
        <f>ROUND(SUMIF(RV_DATA!P55:RV_DATA!P75,-1879407804,RV_DATA!L55:RV_DATA!L75),6)</f>
        <v>46880.515584</v>
      </c>
      <c r="Q63">
        <v>3</v>
      </c>
    </row>
    <row r="64" spans="1:17" ht="14.25">
      <c r="A64" s="85" t="s">
        <v>371</v>
      </c>
      <c r="B64" s="76" t="s">
        <v>373</v>
      </c>
      <c r="C64" s="76" t="s">
        <v>302</v>
      </c>
      <c r="D64" s="77">
        <f>ROUND(SUMIF(RV_DATA!P55:RV_DATA!P75,-200974332,RV_DATA!I55:RV_DATA!I75),6)</f>
        <v>1.404</v>
      </c>
      <c r="E64" s="86">
        <f>SmtRes!AE116</f>
        <v>5762.71</v>
      </c>
      <c r="F64" s="86">
        <f>ROUND(SUMIF(RV_DATA!P55:RV_DATA!P75,-200974332,RV_DATA!L55:RV_DATA!L75),6)</f>
        <v>8090.84484</v>
      </c>
      <c r="Q64">
        <v>3</v>
      </c>
    </row>
    <row r="65" spans="1:17" ht="14.25">
      <c r="A65" s="85" t="s">
        <v>374</v>
      </c>
      <c r="B65" s="76" t="s">
        <v>376</v>
      </c>
      <c r="C65" s="76" t="s">
        <v>322</v>
      </c>
      <c r="D65" s="77">
        <f>ROUND(SUMIF(RV_DATA!P55:RV_DATA!P75,1761276749,RV_DATA!I55:RV_DATA!I75),6)</f>
        <v>99.216</v>
      </c>
      <c r="E65" s="86">
        <f>SmtRes!AE117</f>
        <v>203.39</v>
      </c>
      <c r="F65" s="86">
        <f>ROUND(SUMIF(RV_DATA!P55:RV_DATA!P75,1761276749,RV_DATA!L55:RV_DATA!L75),6)</f>
        <v>20179.54224</v>
      </c>
      <c r="Q65">
        <v>3</v>
      </c>
    </row>
    <row r="66" spans="1:17" ht="14.25">
      <c r="A66" s="85" t="s">
        <v>377</v>
      </c>
      <c r="B66" s="76" t="s">
        <v>379</v>
      </c>
      <c r="C66" s="76" t="s">
        <v>380</v>
      </c>
      <c r="D66" s="77">
        <f>ROUND(SUMIF(RV_DATA!P55:RV_DATA!P75,691528774,RV_DATA!I55:RV_DATA!I75),6)</f>
        <v>93.6</v>
      </c>
      <c r="E66" s="86">
        <f>SmtRes!AE118</f>
        <v>12</v>
      </c>
      <c r="F66" s="86">
        <f>ROUND(SUMIF(RV_DATA!P55:RV_DATA!P75,691528774,RV_DATA!L55:RV_DATA!L75),6)</f>
        <v>1123.2</v>
      </c>
      <c r="Q66">
        <v>3</v>
      </c>
    </row>
    <row r="67" spans="1:17" ht="14.25">
      <c r="A67" s="85" t="s">
        <v>431</v>
      </c>
      <c r="B67" s="76" t="s">
        <v>433</v>
      </c>
      <c r="C67" s="76" t="s">
        <v>380</v>
      </c>
      <c r="D67" s="77">
        <f>ROUND(SUMIF(RV_DATA!P55:RV_DATA!P75,-442776700,RV_DATA!I55:RV_DATA!I75),6)</f>
        <v>4</v>
      </c>
      <c r="E67" s="86">
        <f>SmtRes!AE123</f>
        <v>2457.63</v>
      </c>
      <c r="F67" s="86">
        <f>ROUND(SUMIF(RV_DATA!P55:RV_DATA!P75,-442776700,RV_DATA!L55:RV_DATA!L75),6)</f>
        <v>9830.52</v>
      </c>
      <c r="Q67">
        <v>3</v>
      </c>
    </row>
    <row r="68" spans="1:17" ht="28.5">
      <c r="A68" s="85" t="s">
        <v>437</v>
      </c>
      <c r="B68" s="76" t="s">
        <v>439</v>
      </c>
      <c r="C68" s="76" t="s">
        <v>302</v>
      </c>
      <c r="D68" s="77">
        <f>ROUND(SUMIF(RV_DATA!P55:RV_DATA!P75,-1907096509,RV_DATA!I55:RV_DATA!I75),6)</f>
        <v>0.1265</v>
      </c>
      <c r="E68" s="86">
        <f>SmtRes!AE156</f>
        <v>3305.08</v>
      </c>
      <c r="F68" s="86">
        <f>ROUND(SUMIF(RV_DATA!P55:RV_DATA!P75,-1907096509,RV_DATA!L55:RV_DATA!L75),6)</f>
        <v>418.09262</v>
      </c>
      <c r="Q68">
        <v>3</v>
      </c>
    </row>
    <row r="69" spans="1:17" ht="28.5">
      <c r="A69" s="85" t="s">
        <v>440</v>
      </c>
      <c r="B69" s="76" t="s">
        <v>442</v>
      </c>
      <c r="C69" s="76" t="s">
        <v>443</v>
      </c>
      <c r="D69" s="77">
        <f>ROUND(SUMIF(RV_DATA!P55:RV_DATA!P75,-1164021645,RV_DATA!I55:RV_DATA!I75),6)</f>
        <v>0.201</v>
      </c>
      <c r="E69" s="86">
        <f>SmtRes!AE157</f>
        <v>10653.39</v>
      </c>
      <c r="F69" s="86">
        <f>ROUND(SUMIF(RV_DATA!P55:RV_DATA!P75,-1164021645,RV_DATA!L55:RV_DATA!L75),6)</f>
        <v>2141.33139</v>
      </c>
      <c r="Q69">
        <v>3</v>
      </c>
    </row>
    <row r="70" spans="1:6" ht="15">
      <c r="A70" s="145" t="s">
        <v>644</v>
      </c>
      <c r="B70" s="145"/>
      <c r="C70" s="145"/>
      <c r="D70" s="145"/>
      <c r="E70" s="146">
        <f>SUMIF(Q49:Q69,3,F49:F69)</f>
        <v>6014483.189360001</v>
      </c>
      <c r="F70" s="146"/>
    </row>
    <row r="72" spans="1:15" ht="16.5">
      <c r="A72" s="147" t="str">
        <f>CONCATENATE("Итого по объекту: ",IF(Source!G124&lt;&gt;"Новый объект",Source!G124,""))</f>
        <v>Итого по объекту: помещение 1113 кровля вариант2</v>
      </c>
      <c r="B72" s="148"/>
      <c r="C72" s="148"/>
      <c r="D72" s="148"/>
      <c r="E72" s="148"/>
      <c r="F72" s="149"/>
      <c r="O72" s="84" t="s">
        <v>646</v>
      </c>
    </row>
    <row r="73" spans="1:6" ht="15">
      <c r="A73" s="145" t="s">
        <v>644</v>
      </c>
      <c r="B73" s="145"/>
      <c r="C73" s="145"/>
      <c r="D73" s="145"/>
      <c r="E73" s="146">
        <f>SUMIF(Q1:Q72,3,F1:F72)</f>
        <v>7799899.061008001</v>
      </c>
      <c r="F73" s="146"/>
    </row>
    <row r="74" spans="1:6" ht="14.25" customHeight="1" hidden="1">
      <c r="A74" s="145" t="s">
        <v>647</v>
      </c>
      <c r="B74" s="145"/>
      <c r="C74" s="145"/>
      <c r="D74" s="145"/>
      <c r="E74" s="146">
        <f>SUMIF(Q1:Q73,4,F1:F73)</f>
        <v>0</v>
      </c>
      <c r="F74" s="146"/>
    </row>
  </sheetData>
  <sheetProtection/>
  <mergeCells count="20">
    <mergeCell ref="A70:D70"/>
    <mergeCell ref="E70:F70"/>
    <mergeCell ref="A72:F72"/>
    <mergeCell ref="A73:D73"/>
    <mergeCell ref="E73:F73"/>
    <mergeCell ref="A74:D74"/>
    <mergeCell ref="E74:F74"/>
    <mergeCell ref="A8:F8"/>
    <mergeCell ref="A9:F9"/>
    <mergeCell ref="A46:D46"/>
    <mergeCell ref="E46:F46"/>
    <mergeCell ref="A47:F47"/>
    <mergeCell ref="A48:F48"/>
    <mergeCell ref="A2:F2"/>
    <mergeCell ref="A3:F3"/>
    <mergeCell ref="A4:A6"/>
    <mergeCell ref="B4:B6"/>
    <mergeCell ref="C4:C6"/>
    <mergeCell ref="D4:D6"/>
    <mergeCell ref="E4:F5"/>
  </mergeCells>
  <printOptions/>
  <pageMargins left="0.6" right="0.4" top="0.65" bottom="0.4" header="0.4" footer="0.4"/>
  <pageSetup horizontalDpi="600" verticalDpi="600" orientation="portrait" paperSize="9" scale="96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R179"/>
  <sheetViews>
    <sheetView zoomScalePageLayoutView="0" workbookViewId="0" topLeftCell="A7">
      <selection activeCell="F20" sqref="F20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175</v>
      </c>
      <c r="C12" s="1">
        <v>0</v>
      </c>
      <c r="D12" s="1">
        <f>ROW(A124)</f>
        <v>124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B124</f>
        <v>175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помещение 1113 кровля вариант2</v>
      </c>
      <c r="H18" s="2"/>
      <c r="I18" s="2"/>
      <c r="J18" s="2"/>
      <c r="K18" s="2"/>
      <c r="L18" s="2"/>
      <c r="M18" s="2"/>
      <c r="N18" s="2"/>
      <c r="O18" s="2">
        <f aca="true" t="shared" si="1" ref="O18:AT18">O124</f>
        <v>8344653</v>
      </c>
      <c r="P18" s="2">
        <f t="shared" si="1"/>
        <v>7799899</v>
      </c>
      <c r="Q18" s="2">
        <f t="shared" si="1"/>
        <v>38396</v>
      </c>
      <c r="R18" s="2">
        <f t="shared" si="1"/>
        <v>0</v>
      </c>
      <c r="S18" s="2">
        <f t="shared" si="1"/>
        <v>506358</v>
      </c>
      <c r="T18" s="2">
        <f t="shared" si="1"/>
        <v>0</v>
      </c>
      <c r="U18" s="2">
        <f t="shared" si="1"/>
        <v>3898.793382</v>
      </c>
      <c r="V18" s="2">
        <f t="shared" si="1"/>
        <v>18.613399999999995</v>
      </c>
      <c r="W18" s="2">
        <f t="shared" si="1"/>
        <v>0</v>
      </c>
      <c r="X18" s="2">
        <f t="shared" si="1"/>
        <v>527899</v>
      </c>
      <c r="Y18" s="2">
        <f t="shared" si="1"/>
        <v>291169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9163721</v>
      </c>
      <c r="AS18" s="2">
        <f t="shared" si="1"/>
        <v>9163721</v>
      </c>
      <c r="AT18" s="2">
        <f t="shared" si="1"/>
        <v>0</v>
      </c>
      <c r="AU18" s="2">
        <f aca="true" t="shared" si="2" ref="AU18:BZ18">AU124</f>
        <v>0</v>
      </c>
      <c r="AV18" s="2">
        <f t="shared" si="2"/>
        <v>7799899</v>
      </c>
      <c r="AW18" s="2">
        <f t="shared" si="2"/>
        <v>7799899</v>
      </c>
      <c r="AX18" s="2">
        <f t="shared" si="2"/>
        <v>0</v>
      </c>
      <c r="AY18" s="2">
        <f t="shared" si="2"/>
        <v>7799899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CA124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DG124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ROW(A38)</f>
        <v>38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B38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Ремонт кровли фонаря в осях (3-12)(Д-Е); (И-К)</v>
      </c>
      <c r="G22" s="2" t="str">
        <f t="shared" si="5"/>
        <v>Ремонт кровли фонаря в осях (3-12)(Д-Е); (И-К)</v>
      </c>
      <c r="H22" s="2"/>
      <c r="I22" s="2"/>
      <c r="J22" s="2"/>
      <c r="K22" s="2"/>
      <c r="L22" s="2"/>
      <c r="M22" s="2"/>
      <c r="N22" s="2"/>
      <c r="O22" s="2">
        <f aca="true" t="shared" si="6" ref="O22:AT22">O38</f>
        <v>1998247</v>
      </c>
      <c r="P22" s="2">
        <f t="shared" si="6"/>
        <v>1785415</v>
      </c>
      <c r="Q22" s="2">
        <f t="shared" si="6"/>
        <v>23325</v>
      </c>
      <c r="R22" s="2">
        <f t="shared" si="6"/>
        <v>0</v>
      </c>
      <c r="S22" s="2">
        <f t="shared" si="6"/>
        <v>189507</v>
      </c>
      <c r="T22" s="2">
        <f t="shared" si="6"/>
        <v>0</v>
      </c>
      <c r="U22" s="2">
        <f t="shared" si="6"/>
        <v>1464.0551019999998</v>
      </c>
      <c r="V22" s="2">
        <f t="shared" si="6"/>
        <v>14.149399999999996</v>
      </c>
      <c r="W22" s="2">
        <f t="shared" si="6"/>
        <v>0</v>
      </c>
      <c r="X22" s="2">
        <f t="shared" si="6"/>
        <v>196306</v>
      </c>
      <c r="Y22" s="2">
        <f t="shared" si="6"/>
        <v>111296</v>
      </c>
      <c r="Z22" s="2">
        <f t="shared" si="6"/>
        <v>0</v>
      </c>
      <c r="AA22" s="2">
        <f t="shared" si="6"/>
        <v>0</v>
      </c>
      <c r="AB22" s="2">
        <f t="shared" si="6"/>
        <v>1998247</v>
      </c>
      <c r="AC22" s="2">
        <f t="shared" si="6"/>
        <v>1785415</v>
      </c>
      <c r="AD22" s="2">
        <f t="shared" si="6"/>
        <v>23325</v>
      </c>
      <c r="AE22" s="2">
        <f t="shared" si="6"/>
        <v>0</v>
      </c>
      <c r="AF22" s="2">
        <f t="shared" si="6"/>
        <v>189507</v>
      </c>
      <c r="AG22" s="2">
        <f t="shared" si="6"/>
        <v>0</v>
      </c>
      <c r="AH22" s="2">
        <f t="shared" si="6"/>
        <v>1464.0551019999998</v>
      </c>
      <c r="AI22" s="2">
        <f t="shared" si="6"/>
        <v>14.149399999999996</v>
      </c>
      <c r="AJ22" s="2">
        <f t="shared" si="6"/>
        <v>0</v>
      </c>
      <c r="AK22" s="2">
        <f t="shared" si="6"/>
        <v>196306</v>
      </c>
      <c r="AL22" s="2">
        <f t="shared" si="6"/>
        <v>111296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2305849</v>
      </c>
      <c r="AS22" s="2">
        <f t="shared" si="6"/>
        <v>2305849</v>
      </c>
      <c r="AT22" s="2">
        <f t="shared" si="6"/>
        <v>0</v>
      </c>
      <c r="AU22" s="2">
        <f aca="true" t="shared" si="7" ref="AU22:BZ22">AU38</f>
        <v>0</v>
      </c>
      <c r="AV22" s="2">
        <f t="shared" si="7"/>
        <v>1785415</v>
      </c>
      <c r="AW22" s="2">
        <f t="shared" si="7"/>
        <v>1785415</v>
      </c>
      <c r="AX22" s="2">
        <f t="shared" si="7"/>
        <v>0</v>
      </c>
      <c r="AY22" s="2">
        <f t="shared" si="7"/>
        <v>1785415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2305849</v>
      </c>
      <c r="BF22" s="2">
        <f t="shared" si="7"/>
        <v>2305849</v>
      </c>
      <c r="BG22" s="2">
        <f t="shared" si="7"/>
        <v>0</v>
      </c>
      <c r="BH22" s="2">
        <f t="shared" si="7"/>
        <v>0</v>
      </c>
      <c r="BI22" s="2">
        <f t="shared" si="7"/>
        <v>1785415</v>
      </c>
      <c r="BJ22" s="2">
        <f t="shared" si="7"/>
        <v>1785415</v>
      </c>
      <c r="BK22" s="2">
        <f t="shared" si="7"/>
        <v>0</v>
      </c>
      <c r="BL22" s="2">
        <f t="shared" si="7"/>
        <v>1785415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CA38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DG38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C24">
        <f>ROW(SmtRes!A2)</f>
        <v>2</v>
      </c>
      <c r="D24">
        <f>ROW(EtalonRes!A2)</f>
        <v>2</v>
      </c>
      <c r="E24" t="s">
        <v>12</v>
      </c>
      <c r="F24" t="s">
        <v>13</v>
      </c>
      <c r="G24" t="s">
        <v>14</v>
      </c>
      <c r="H24" t="s">
        <v>15</v>
      </c>
      <c r="I24">
        <v>0.6</v>
      </c>
      <c r="J24">
        <v>0</v>
      </c>
      <c r="O24">
        <f aca="true" t="shared" si="10" ref="O24:O36">ROUND(CP24,0)</f>
        <v>1172</v>
      </c>
      <c r="P24">
        <f aca="true" t="shared" si="11" ref="P24:P36">ROUND(CQ24*I24,0)</f>
        <v>0</v>
      </c>
      <c r="Q24">
        <f aca="true" t="shared" si="12" ref="Q24:Q36">ROUND(CR24*I24,0)</f>
        <v>74</v>
      </c>
      <c r="R24">
        <f aca="true" t="shared" si="13" ref="R24:R36">ROUND(CS24*I24,0)</f>
        <v>0</v>
      </c>
      <c r="S24">
        <f aca="true" t="shared" si="14" ref="S24:S36">ROUND(CT24*I24,0)</f>
        <v>1098</v>
      </c>
      <c r="T24">
        <f aca="true" t="shared" si="15" ref="T24:T36">ROUND(CU24*I24,0)</f>
        <v>0</v>
      </c>
      <c r="U24">
        <f aca="true" t="shared" si="16" ref="U24:U36">CV24*I24</f>
        <v>9.54</v>
      </c>
      <c r="V24">
        <f aca="true" t="shared" si="17" ref="V24:V36">CW24*I24</f>
        <v>0</v>
      </c>
      <c r="W24">
        <f aca="true" t="shared" si="18" ref="W24:W36">ROUND(CX24*I24,0)</f>
        <v>0</v>
      </c>
      <c r="X24">
        <f aca="true" t="shared" si="19" ref="X24:X36">ROUND(CY24,0)</f>
        <v>1208</v>
      </c>
      <c r="Y24">
        <f aca="true" t="shared" si="20" ref="Y24:Y36">ROUND(CZ24,0)</f>
        <v>769</v>
      </c>
      <c r="AA24">
        <v>27243028</v>
      </c>
      <c r="AB24">
        <f aca="true" t="shared" si="21" ref="AB24:AB36">ROUND((AC24+AD24+AF24),2)</f>
        <v>1953.92</v>
      </c>
      <c r="AC24">
        <f>ROUND((0),2)</f>
        <v>0</v>
      </c>
      <c r="AD24">
        <f>ROUND((SUM(SmtRes!BR1:SmtRes!BR2)),2)</f>
        <v>123.51</v>
      </c>
      <c r="AE24">
        <f aca="true" t="shared" si="22" ref="AE24:AE36">ROUND((0),2)</f>
        <v>0</v>
      </c>
      <c r="AF24">
        <f>ROUND((SUM(SmtRes!BT1:SmtRes!BT2)),2)</f>
        <v>1830.41</v>
      </c>
      <c r="AG24">
        <f aca="true" t="shared" si="23" ref="AG24:AG36">ROUND((AP24),2)</f>
        <v>0</v>
      </c>
      <c r="AH24">
        <f>(SUM(SmtRes!BU1:SmtRes!BU2))</f>
        <v>15.9</v>
      </c>
      <c r="AI24">
        <f>(0)</f>
        <v>0</v>
      </c>
      <c r="AJ24">
        <f aca="true" t="shared" si="24" ref="AJ24:AJ36">ROUND((AS24),2)</f>
        <v>0</v>
      </c>
      <c r="AK24">
        <v>1953.9180000000001</v>
      </c>
      <c r="AL24">
        <v>0</v>
      </c>
      <c r="AM24">
        <v>123.50999999999999</v>
      </c>
      <c r="AN24">
        <v>0</v>
      </c>
      <c r="AO24">
        <v>1830.4080000000001</v>
      </c>
      <c r="AP24">
        <v>0</v>
      </c>
      <c r="AQ24">
        <v>15.9</v>
      </c>
      <c r="AR24">
        <v>0</v>
      </c>
      <c r="AS24">
        <v>0</v>
      </c>
      <c r="AT24">
        <v>110</v>
      </c>
      <c r="AU24">
        <v>70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16</v>
      </c>
      <c r="BM24">
        <v>46001</v>
      </c>
      <c r="BN24">
        <v>0</v>
      </c>
      <c r="BP24">
        <v>0</v>
      </c>
      <c r="BQ24">
        <v>2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110</v>
      </c>
      <c r="CA24">
        <v>70</v>
      </c>
      <c r="CF24">
        <v>0</v>
      </c>
      <c r="CG24">
        <v>0</v>
      </c>
      <c r="CM24">
        <v>0</v>
      </c>
      <c r="CO24">
        <v>0</v>
      </c>
      <c r="CP24">
        <f aca="true" t="shared" si="25" ref="CP24:CP36">(P24+Q24+S24)</f>
        <v>1172</v>
      </c>
      <c r="CQ24">
        <f aca="true" t="shared" si="26" ref="CQ24:CQ36">AC24*BC24</f>
        <v>0</v>
      </c>
      <c r="CR24">
        <f aca="true" t="shared" si="27" ref="CR24:CR36">AD24*BB24</f>
        <v>123.51</v>
      </c>
      <c r="CS24">
        <f aca="true" t="shared" si="28" ref="CS24:CS36">AE24*BS24</f>
        <v>0</v>
      </c>
      <c r="CT24">
        <f aca="true" t="shared" si="29" ref="CT24:CT36">AF24*BA24</f>
        <v>1830.41</v>
      </c>
      <c r="CU24">
        <f aca="true" t="shared" si="30" ref="CU24:CU36">AG24</f>
        <v>0</v>
      </c>
      <c r="CV24">
        <f aca="true" t="shared" si="31" ref="CV24:CV36">AH24</f>
        <v>15.9</v>
      </c>
      <c r="CW24">
        <f aca="true" t="shared" si="32" ref="CW24:CW36">AI24</f>
        <v>0</v>
      </c>
      <c r="CX24">
        <f aca="true" t="shared" si="33" ref="CX24:CX36">AJ24</f>
        <v>0</v>
      </c>
      <c r="CY24">
        <f aca="true" t="shared" si="34" ref="CY24:CY34">((S24+R24)*(ROUND((FX24*IF(0,(IF(0,0.94,0.85)*IF(0,0.85,1)),1)),IF(0,0,2))/100))</f>
        <v>1207.8000000000002</v>
      </c>
      <c r="CZ24">
        <f aca="true" t="shared" si="35" ref="CZ24:CZ34">((S24+R24)*(ROUND((FY24*IF(0,0.8,1)),IF(0,0,2))/100))</f>
        <v>768.5999999999999</v>
      </c>
      <c r="DL24" t="s">
        <v>17</v>
      </c>
      <c r="DM24" t="s">
        <v>18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15</v>
      </c>
      <c r="DW24" t="s">
        <v>15</v>
      </c>
      <c r="DX24">
        <v>1</v>
      </c>
      <c r="EE24">
        <v>25701113</v>
      </c>
      <c r="EF24">
        <v>2</v>
      </c>
      <c r="EG24" t="s">
        <v>19</v>
      </c>
      <c r="EH24">
        <v>0</v>
      </c>
      <c r="EJ24">
        <v>1</v>
      </c>
      <c r="EK24">
        <v>46001</v>
      </c>
      <c r="EL24" t="s">
        <v>20</v>
      </c>
      <c r="EM24" t="s">
        <v>21</v>
      </c>
      <c r="EQ24">
        <v>131072</v>
      </c>
      <c r="ER24">
        <v>154.66</v>
      </c>
      <c r="ES24">
        <v>0</v>
      </c>
      <c r="ET24">
        <v>30.64</v>
      </c>
      <c r="EU24">
        <v>0</v>
      </c>
      <c r="EV24">
        <v>124.02</v>
      </c>
      <c r="EW24">
        <v>15.9</v>
      </c>
      <c r="EX24">
        <v>0</v>
      </c>
      <c r="EY24">
        <v>0</v>
      </c>
      <c r="FQ24">
        <v>0</v>
      </c>
      <c r="FR24">
        <f aca="true" t="shared" si="36" ref="FR24:FR36">ROUND(IF(AND(BH24=3,BI24=3),P24,0),0)</f>
        <v>0</v>
      </c>
      <c r="FS24">
        <v>0</v>
      </c>
      <c r="FU24" t="s">
        <v>22</v>
      </c>
      <c r="FX24">
        <v>110</v>
      </c>
      <c r="FY24">
        <v>70</v>
      </c>
      <c r="GF24">
        <v>322014297</v>
      </c>
      <c r="GG24">
        <v>2</v>
      </c>
      <c r="GH24">
        <v>1</v>
      </c>
      <c r="GI24">
        <v>-2</v>
      </c>
      <c r="GJ24">
        <v>0</v>
      </c>
      <c r="GK24">
        <f>ROUND(R24*(R12)/100,0)</f>
        <v>0</v>
      </c>
      <c r="GL24">
        <f aca="true" t="shared" si="37" ref="GL24:GL36">ROUND(IF(AND(BH24=3,BI24=3,FS24&lt;&gt;0),P24,0),0)</f>
        <v>0</v>
      </c>
      <c r="GM24">
        <f aca="true" t="shared" si="38" ref="GM24:GM36">O24+X24+Y24</f>
        <v>3149</v>
      </c>
      <c r="GN24">
        <f aca="true" t="shared" si="39" ref="GN24:GN36">ROUND(IF(OR(BI24=0,BI24=1),O24+X24+Y24,0),0)</f>
        <v>3149</v>
      </c>
      <c r="GO24">
        <f aca="true" t="shared" si="40" ref="GO24:GO36">ROUND(IF(BI24=2,O24+X24+Y24,0),0)</f>
        <v>0</v>
      </c>
      <c r="GP24">
        <f aca="true" t="shared" si="41" ref="GP24:GP36">ROUND(IF(BI24=4,O24+X24+Y24,0),0)</f>
        <v>0</v>
      </c>
      <c r="GR24">
        <v>0</v>
      </c>
    </row>
    <row r="25" spans="1:200" ht="12.75">
      <c r="A25">
        <v>17</v>
      </c>
      <c r="B25">
        <v>1</v>
      </c>
      <c r="C25">
        <f>ROW(SmtRes!A6)</f>
        <v>6</v>
      </c>
      <c r="D25">
        <f>ROW(EtalonRes!A15)</f>
        <v>15</v>
      </c>
      <c r="E25" t="s">
        <v>23</v>
      </c>
      <c r="F25" t="s">
        <v>24</v>
      </c>
      <c r="G25" t="s">
        <v>25</v>
      </c>
      <c r="H25" t="s">
        <v>26</v>
      </c>
      <c r="I25">
        <v>10.6</v>
      </c>
      <c r="J25">
        <v>0</v>
      </c>
      <c r="O25">
        <f t="shared" si="10"/>
        <v>25823</v>
      </c>
      <c r="P25">
        <f t="shared" si="11"/>
        <v>0</v>
      </c>
      <c r="Q25">
        <f t="shared" si="12"/>
        <v>2221</v>
      </c>
      <c r="R25">
        <f t="shared" si="13"/>
        <v>0</v>
      </c>
      <c r="S25">
        <f t="shared" si="14"/>
        <v>23602</v>
      </c>
      <c r="T25">
        <f t="shared" si="15"/>
        <v>0</v>
      </c>
      <c r="U25">
        <f t="shared" si="16"/>
        <v>190.79999999999998</v>
      </c>
      <c r="V25">
        <f t="shared" si="17"/>
        <v>0</v>
      </c>
      <c r="W25">
        <f t="shared" si="18"/>
        <v>0</v>
      </c>
      <c r="X25">
        <f t="shared" si="19"/>
        <v>27850</v>
      </c>
      <c r="Y25">
        <f t="shared" si="20"/>
        <v>14869</v>
      </c>
      <c r="AA25">
        <v>27243028</v>
      </c>
      <c r="AB25">
        <f t="shared" si="21"/>
        <v>2436.09</v>
      </c>
      <c r="AC25">
        <f>ROUND((0),2)</f>
        <v>0</v>
      </c>
      <c r="AD25">
        <f>ROUND((SUM(SmtRes!BR3:SmtRes!BR6)),2)</f>
        <v>209.49</v>
      </c>
      <c r="AE25">
        <f t="shared" si="22"/>
        <v>0</v>
      </c>
      <c r="AF25">
        <f>ROUND((SUM(SmtRes!BT3:SmtRes!BT6)),2)</f>
        <v>2226.6</v>
      </c>
      <c r="AG25">
        <f t="shared" si="23"/>
        <v>0</v>
      </c>
      <c r="AH25">
        <f>(SUM(SmtRes!BU3:SmtRes!BU6))</f>
        <v>18</v>
      </c>
      <c r="AI25">
        <f>(0)</f>
        <v>0</v>
      </c>
      <c r="AJ25">
        <f t="shared" si="24"/>
        <v>0</v>
      </c>
      <c r="AK25">
        <v>3045.1111</v>
      </c>
      <c r="AL25">
        <v>0</v>
      </c>
      <c r="AM25">
        <v>261.8611</v>
      </c>
      <c r="AN25">
        <v>0</v>
      </c>
      <c r="AO25">
        <v>2783.25</v>
      </c>
      <c r="AP25">
        <v>0</v>
      </c>
      <c r="AQ25">
        <v>22.5</v>
      </c>
      <c r="AR25">
        <v>0</v>
      </c>
      <c r="AS25">
        <v>0</v>
      </c>
      <c r="AT25">
        <v>118</v>
      </c>
      <c r="AU25">
        <v>63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27</v>
      </c>
      <c r="BM25">
        <v>10001</v>
      </c>
      <c r="BN25">
        <v>0</v>
      </c>
      <c r="BP25">
        <v>0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118</v>
      </c>
      <c r="CA25">
        <v>63</v>
      </c>
      <c r="CF25">
        <v>0</v>
      </c>
      <c r="CG25">
        <v>0</v>
      </c>
      <c r="CM25">
        <v>0</v>
      </c>
      <c r="CO25">
        <v>0</v>
      </c>
      <c r="CP25">
        <f t="shared" si="25"/>
        <v>25823</v>
      </c>
      <c r="CQ25">
        <f t="shared" si="26"/>
        <v>0</v>
      </c>
      <c r="CR25">
        <f t="shared" si="27"/>
        <v>209.49</v>
      </c>
      <c r="CS25">
        <f t="shared" si="28"/>
        <v>0</v>
      </c>
      <c r="CT25">
        <f t="shared" si="29"/>
        <v>2226.6</v>
      </c>
      <c r="CU25">
        <f t="shared" si="30"/>
        <v>0</v>
      </c>
      <c r="CV25">
        <f t="shared" si="31"/>
        <v>18</v>
      </c>
      <c r="CW25">
        <f t="shared" si="32"/>
        <v>0</v>
      </c>
      <c r="CX25">
        <f t="shared" si="33"/>
        <v>0</v>
      </c>
      <c r="CY25">
        <f t="shared" si="34"/>
        <v>27850.359999999997</v>
      </c>
      <c r="CZ25">
        <f t="shared" si="35"/>
        <v>14869.26</v>
      </c>
      <c r="DE25" t="s">
        <v>28</v>
      </c>
      <c r="DF25" t="s">
        <v>28</v>
      </c>
      <c r="DG25" t="s">
        <v>28</v>
      </c>
      <c r="DI25" t="s">
        <v>28</v>
      </c>
      <c r="DJ25" t="s">
        <v>28</v>
      </c>
      <c r="DL25" t="s">
        <v>29</v>
      </c>
      <c r="DM25" t="s">
        <v>30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26</v>
      </c>
      <c r="DW25" t="s">
        <v>26</v>
      </c>
      <c r="DX25">
        <v>1</v>
      </c>
      <c r="EE25">
        <v>25701053</v>
      </c>
      <c r="EF25">
        <v>2</v>
      </c>
      <c r="EG25" t="s">
        <v>19</v>
      </c>
      <c r="EH25">
        <v>0</v>
      </c>
      <c r="EJ25">
        <v>1</v>
      </c>
      <c r="EK25">
        <v>10001</v>
      </c>
      <c r="EL25" t="s">
        <v>31</v>
      </c>
      <c r="EM25" t="s">
        <v>32</v>
      </c>
      <c r="EQ25">
        <v>131072</v>
      </c>
      <c r="ER25">
        <v>2411.06</v>
      </c>
      <c r="ES25">
        <v>2189</v>
      </c>
      <c r="ET25">
        <v>33.51</v>
      </c>
      <c r="EU25">
        <v>0</v>
      </c>
      <c r="EV25">
        <v>188.55</v>
      </c>
      <c r="EW25">
        <v>22.5</v>
      </c>
      <c r="EX25">
        <v>0</v>
      </c>
      <c r="EY25">
        <v>0</v>
      </c>
      <c r="FQ25">
        <v>0</v>
      </c>
      <c r="FR25">
        <f t="shared" si="36"/>
        <v>0</v>
      </c>
      <c r="FS25">
        <v>0</v>
      </c>
      <c r="FT25" t="s">
        <v>33</v>
      </c>
      <c r="FU25" t="s">
        <v>22</v>
      </c>
      <c r="FX25">
        <v>118</v>
      </c>
      <c r="FY25">
        <v>63</v>
      </c>
      <c r="GF25">
        <v>1316727266</v>
      </c>
      <c r="GG25">
        <v>2</v>
      </c>
      <c r="GH25">
        <v>1</v>
      </c>
      <c r="GI25">
        <v>-2</v>
      </c>
      <c r="GJ25">
        <v>0</v>
      </c>
      <c r="GK25">
        <f>ROUND(R25*(R12)/100,0)</f>
        <v>0</v>
      </c>
      <c r="GL25">
        <f t="shared" si="37"/>
        <v>0</v>
      </c>
      <c r="GM25">
        <f t="shared" si="38"/>
        <v>68542</v>
      </c>
      <c r="GN25">
        <f t="shared" si="39"/>
        <v>68542</v>
      </c>
      <c r="GO25">
        <f t="shared" si="40"/>
        <v>0</v>
      </c>
      <c r="GP25">
        <f t="shared" si="41"/>
        <v>0</v>
      </c>
      <c r="GR25">
        <v>0</v>
      </c>
    </row>
    <row r="26" spans="1:200" ht="12.75">
      <c r="A26">
        <v>17</v>
      </c>
      <c r="B26">
        <v>1</v>
      </c>
      <c r="C26">
        <f>ROW(SmtRes!A26)</f>
        <v>26</v>
      </c>
      <c r="D26">
        <f>ROW(EtalonRes!A40)</f>
        <v>40</v>
      </c>
      <c r="E26" t="s">
        <v>34</v>
      </c>
      <c r="F26" t="s">
        <v>35</v>
      </c>
      <c r="G26" t="s">
        <v>36</v>
      </c>
      <c r="H26" t="s">
        <v>15</v>
      </c>
      <c r="I26">
        <v>0.628</v>
      </c>
      <c r="J26">
        <v>0</v>
      </c>
      <c r="O26">
        <f t="shared" si="10"/>
        <v>22744</v>
      </c>
      <c r="P26">
        <f t="shared" si="11"/>
        <v>17382</v>
      </c>
      <c r="Q26">
        <f t="shared" si="12"/>
        <v>2057</v>
      </c>
      <c r="R26">
        <f t="shared" si="13"/>
        <v>0</v>
      </c>
      <c r="S26">
        <f t="shared" si="14"/>
        <v>3305</v>
      </c>
      <c r="T26">
        <f t="shared" si="15"/>
        <v>0</v>
      </c>
      <c r="U26">
        <f t="shared" si="16"/>
        <v>25.638099999999998</v>
      </c>
      <c r="V26">
        <f t="shared" si="17"/>
        <v>2.04885</v>
      </c>
      <c r="W26">
        <f t="shared" si="18"/>
        <v>0</v>
      </c>
      <c r="X26">
        <f t="shared" si="19"/>
        <v>2677</v>
      </c>
      <c r="Y26">
        <f t="shared" si="20"/>
        <v>2388</v>
      </c>
      <c r="AA26">
        <v>27243028</v>
      </c>
      <c r="AB26">
        <f t="shared" si="21"/>
        <v>36216.57</v>
      </c>
      <c r="AC26">
        <f>ROUND((SUM(SmtRes!BQ7:SmtRes!BQ26)),2)</f>
        <v>27678.47</v>
      </c>
      <c r="AD26">
        <f>ROUND((SUM(SmtRes!BR7:SmtRes!BR26)),2)</f>
        <v>3275.76</v>
      </c>
      <c r="AE26">
        <f t="shared" si="22"/>
        <v>0</v>
      </c>
      <c r="AF26">
        <f>ROUND((SUM(SmtRes!BT7:SmtRes!BT26)),2)</f>
        <v>5262.34</v>
      </c>
      <c r="AG26">
        <f t="shared" si="23"/>
        <v>0</v>
      </c>
      <c r="AH26">
        <f>(SUM(SmtRes!BU7:SmtRes!BU26))</f>
        <v>40.824999999999996</v>
      </c>
      <c r="AI26">
        <f>(SUM(SmtRes!BV7:SmtRes!BV26))</f>
        <v>3.2624999999999997</v>
      </c>
      <c r="AJ26">
        <f t="shared" si="24"/>
        <v>0</v>
      </c>
      <c r="AK26">
        <v>34875.021925199995</v>
      </c>
      <c r="AL26">
        <v>27678.4670252</v>
      </c>
      <c r="AM26">
        <v>2620.6049000000003</v>
      </c>
      <c r="AN26">
        <v>0</v>
      </c>
      <c r="AO26">
        <v>4575.95</v>
      </c>
      <c r="AP26">
        <v>0</v>
      </c>
      <c r="AQ26">
        <v>35.5</v>
      </c>
      <c r="AR26">
        <v>2.61</v>
      </c>
      <c r="AS26">
        <v>0</v>
      </c>
      <c r="AT26">
        <v>81</v>
      </c>
      <c r="AU26">
        <v>72.25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37</v>
      </c>
      <c r="BM26">
        <v>9001</v>
      </c>
      <c r="BN26">
        <v>0</v>
      </c>
      <c r="BP26">
        <v>0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90</v>
      </c>
      <c r="CA26">
        <v>85</v>
      </c>
      <c r="CF26">
        <v>0</v>
      </c>
      <c r="CG26">
        <v>0</v>
      </c>
      <c r="CM26">
        <v>0</v>
      </c>
      <c r="CO26">
        <v>0</v>
      </c>
      <c r="CP26">
        <f t="shared" si="25"/>
        <v>22744</v>
      </c>
      <c r="CQ26">
        <f t="shared" si="26"/>
        <v>27678.47</v>
      </c>
      <c r="CR26">
        <f t="shared" si="27"/>
        <v>3275.76</v>
      </c>
      <c r="CS26">
        <f t="shared" si="28"/>
        <v>0</v>
      </c>
      <c r="CT26">
        <f t="shared" si="29"/>
        <v>5262.34</v>
      </c>
      <c r="CU26">
        <f t="shared" si="30"/>
        <v>0</v>
      </c>
      <c r="CV26">
        <f t="shared" si="31"/>
        <v>40.824999999999996</v>
      </c>
      <c r="CW26">
        <f t="shared" si="32"/>
        <v>3.2624999999999997</v>
      </c>
      <c r="CX26">
        <f t="shared" si="33"/>
        <v>0</v>
      </c>
      <c r="CY26">
        <f t="shared" si="34"/>
        <v>2677.05</v>
      </c>
      <c r="CZ26">
        <f t="shared" si="35"/>
        <v>2387.8625</v>
      </c>
      <c r="DE26" t="s">
        <v>38</v>
      </c>
      <c r="DF26" t="s">
        <v>38</v>
      </c>
      <c r="DG26" t="s">
        <v>39</v>
      </c>
      <c r="DI26" t="s">
        <v>39</v>
      </c>
      <c r="DJ26" t="s">
        <v>38</v>
      </c>
      <c r="DL26" t="s">
        <v>40</v>
      </c>
      <c r="DM26" t="s">
        <v>41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15</v>
      </c>
      <c r="DW26" t="s">
        <v>15</v>
      </c>
      <c r="DX26">
        <v>1</v>
      </c>
      <c r="EE26">
        <v>25701052</v>
      </c>
      <c r="EF26">
        <v>2</v>
      </c>
      <c r="EG26" t="s">
        <v>19</v>
      </c>
      <c r="EH26">
        <v>0</v>
      </c>
      <c r="EJ26">
        <v>1</v>
      </c>
      <c r="EK26">
        <v>9001</v>
      </c>
      <c r="EL26" t="s">
        <v>42</v>
      </c>
      <c r="EM26" t="s">
        <v>43</v>
      </c>
      <c r="EQ26">
        <v>131072</v>
      </c>
      <c r="ER26">
        <v>944.74</v>
      </c>
      <c r="ES26">
        <v>153.96</v>
      </c>
      <c r="ET26">
        <v>480.51</v>
      </c>
      <c r="EU26">
        <v>37.43</v>
      </c>
      <c r="EV26">
        <v>310.27</v>
      </c>
      <c r="EW26">
        <v>35.5</v>
      </c>
      <c r="EX26">
        <v>2.61</v>
      </c>
      <c r="EY26">
        <v>0</v>
      </c>
      <c r="FQ26">
        <v>0</v>
      </c>
      <c r="FR26">
        <f t="shared" si="36"/>
        <v>0</v>
      </c>
      <c r="FS26">
        <v>0</v>
      </c>
      <c r="FT26" t="s">
        <v>33</v>
      </c>
      <c r="FU26" t="s">
        <v>22</v>
      </c>
      <c r="FX26">
        <v>81</v>
      </c>
      <c r="FY26">
        <v>72.25</v>
      </c>
      <c r="GF26">
        <v>244223745</v>
      </c>
      <c r="GG26">
        <v>2</v>
      </c>
      <c r="GH26">
        <v>1</v>
      </c>
      <c r="GI26">
        <v>-2</v>
      </c>
      <c r="GJ26">
        <v>0</v>
      </c>
      <c r="GK26">
        <f>ROUND(R26*(R12)/100,0)</f>
        <v>0</v>
      </c>
      <c r="GL26">
        <f t="shared" si="37"/>
        <v>0</v>
      </c>
      <c r="GM26">
        <f t="shared" si="38"/>
        <v>27809</v>
      </c>
      <c r="GN26">
        <f t="shared" si="39"/>
        <v>27809</v>
      </c>
      <c r="GO26">
        <f t="shared" si="40"/>
        <v>0</v>
      </c>
      <c r="GP26">
        <f t="shared" si="41"/>
        <v>0</v>
      </c>
      <c r="GR26">
        <v>0</v>
      </c>
    </row>
    <row r="27" spans="1:200" ht="12.75">
      <c r="A27">
        <v>17</v>
      </c>
      <c r="B27">
        <v>1</v>
      </c>
      <c r="C27">
        <f>ROW(SmtRes!A28)</f>
        <v>28</v>
      </c>
      <c r="D27">
        <f>ROW(EtalonRes!A42)</f>
        <v>42</v>
      </c>
      <c r="E27" t="s">
        <v>44</v>
      </c>
      <c r="F27" t="s">
        <v>45</v>
      </c>
      <c r="G27" t="s">
        <v>46</v>
      </c>
      <c r="H27" t="s">
        <v>47</v>
      </c>
      <c r="I27">
        <v>12</v>
      </c>
      <c r="J27">
        <v>0</v>
      </c>
      <c r="O27">
        <f t="shared" si="10"/>
        <v>667</v>
      </c>
      <c r="P27">
        <f t="shared" si="11"/>
        <v>0</v>
      </c>
      <c r="Q27">
        <f t="shared" si="12"/>
        <v>46</v>
      </c>
      <c r="R27">
        <f t="shared" si="13"/>
        <v>0</v>
      </c>
      <c r="S27">
        <f t="shared" si="14"/>
        <v>621</v>
      </c>
      <c r="T27">
        <f t="shared" si="15"/>
        <v>0</v>
      </c>
      <c r="U27">
        <f t="shared" si="16"/>
        <v>4.692</v>
      </c>
      <c r="V27">
        <f t="shared" si="17"/>
        <v>0</v>
      </c>
      <c r="W27">
        <f t="shared" si="18"/>
        <v>0</v>
      </c>
      <c r="X27">
        <f t="shared" si="19"/>
        <v>503</v>
      </c>
      <c r="Y27">
        <f t="shared" si="20"/>
        <v>449</v>
      </c>
      <c r="AA27">
        <v>27243028</v>
      </c>
      <c r="AB27">
        <f t="shared" si="21"/>
        <v>55.6</v>
      </c>
      <c r="AC27">
        <f>ROUND((0),2)</f>
        <v>0</v>
      </c>
      <c r="AD27">
        <f>ROUND((SUM(SmtRes!BR27:SmtRes!BR28)),2)</f>
        <v>3.87</v>
      </c>
      <c r="AE27">
        <f t="shared" si="22"/>
        <v>0</v>
      </c>
      <c r="AF27">
        <f>ROUND((SUM(SmtRes!BT27:SmtRes!BT28)),2)</f>
        <v>51.73</v>
      </c>
      <c r="AG27">
        <f t="shared" si="23"/>
        <v>0</v>
      </c>
      <c r="AH27">
        <f>(SUM(SmtRes!BU27:SmtRes!BU28))</f>
        <v>0.391</v>
      </c>
      <c r="AI27">
        <f>(0)</f>
        <v>0</v>
      </c>
      <c r="AJ27">
        <f t="shared" si="24"/>
        <v>0</v>
      </c>
      <c r="AK27">
        <v>48.0724</v>
      </c>
      <c r="AL27">
        <v>0</v>
      </c>
      <c r="AM27">
        <v>3.0938000000000003</v>
      </c>
      <c r="AN27">
        <v>0</v>
      </c>
      <c r="AO27">
        <v>44.9786</v>
      </c>
      <c r="AP27">
        <v>0</v>
      </c>
      <c r="AQ27">
        <v>0.34</v>
      </c>
      <c r="AR27">
        <v>0</v>
      </c>
      <c r="AS27">
        <v>0</v>
      </c>
      <c r="AT27">
        <v>81</v>
      </c>
      <c r="AU27">
        <v>72.25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48</v>
      </c>
      <c r="BM27">
        <v>9001</v>
      </c>
      <c r="BN27">
        <v>0</v>
      </c>
      <c r="BP27">
        <v>0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90</v>
      </c>
      <c r="CA27">
        <v>85</v>
      </c>
      <c r="CF27">
        <v>0</v>
      </c>
      <c r="CG27">
        <v>0</v>
      </c>
      <c r="CM27">
        <v>0</v>
      </c>
      <c r="CO27">
        <v>0</v>
      </c>
      <c r="CP27">
        <f t="shared" si="25"/>
        <v>667</v>
      </c>
      <c r="CQ27">
        <f t="shared" si="26"/>
        <v>0</v>
      </c>
      <c r="CR27">
        <f t="shared" si="27"/>
        <v>3.87</v>
      </c>
      <c r="CS27">
        <f t="shared" si="28"/>
        <v>0</v>
      </c>
      <c r="CT27">
        <f t="shared" si="29"/>
        <v>51.73</v>
      </c>
      <c r="CU27">
        <f t="shared" si="30"/>
        <v>0</v>
      </c>
      <c r="CV27">
        <f t="shared" si="31"/>
        <v>0.391</v>
      </c>
      <c r="CW27">
        <f t="shared" si="32"/>
        <v>0</v>
      </c>
      <c r="CX27">
        <f t="shared" si="33"/>
        <v>0</v>
      </c>
      <c r="CY27">
        <f t="shared" si="34"/>
        <v>503.01000000000005</v>
      </c>
      <c r="CZ27">
        <f t="shared" si="35"/>
        <v>448.6725</v>
      </c>
      <c r="DE27" t="s">
        <v>38</v>
      </c>
      <c r="DF27" t="s">
        <v>38</v>
      </c>
      <c r="DG27" t="s">
        <v>39</v>
      </c>
      <c r="DI27" t="s">
        <v>39</v>
      </c>
      <c r="DJ27" t="s">
        <v>38</v>
      </c>
      <c r="DL27" t="s">
        <v>40</v>
      </c>
      <c r="DM27" t="s">
        <v>41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47</v>
      </c>
      <c r="DW27" t="s">
        <v>47</v>
      </c>
      <c r="DX27">
        <v>1</v>
      </c>
      <c r="EE27">
        <v>25701052</v>
      </c>
      <c r="EF27">
        <v>2</v>
      </c>
      <c r="EG27" t="s">
        <v>19</v>
      </c>
      <c r="EH27">
        <v>0</v>
      </c>
      <c r="EJ27">
        <v>1</v>
      </c>
      <c r="EK27">
        <v>9001</v>
      </c>
      <c r="EL27" t="s">
        <v>42</v>
      </c>
      <c r="EM27" t="s">
        <v>43</v>
      </c>
      <c r="EQ27">
        <v>131072</v>
      </c>
      <c r="ER27">
        <v>3.6</v>
      </c>
      <c r="ES27">
        <v>0</v>
      </c>
      <c r="ET27">
        <v>0.55</v>
      </c>
      <c r="EU27">
        <v>0</v>
      </c>
      <c r="EV27">
        <v>3.05</v>
      </c>
      <c r="EW27">
        <v>0.34</v>
      </c>
      <c r="EX27">
        <v>0</v>
      </c>
      <c r="EY27">
        <v>0</v>
      </c>
      <c r="FQ27">
        <v>0</v>
      </c>
      <c r="FR27">
        <f t="shared" si="36"/>
        <v>0</v>
      </c>
      <c r="FS27">
        <v>0</v>
      </c>
      <c r="FT27" t="s">
        <v>33</v>
      </c>
      <c r="FU27" t="s">
        <v>22</v>
      </c>
      <c r="FX27">
        <v>81</v>
      </c>
      <c r="FY27">
        <v>72.25</v>
      </c>
      <c r="GF27">
        <v>-666867692</v>
      </c>
      <c r="GG27">
        <v>2</v>
      </c>
      <c r="GH27">
        <v>1</v>
      </c>
      <c r="GI27">
        <v>-2</v>
      </c>
      <c r="GJ27">
        <v>0</v>
      </c>
      <c r="GK27">
        <f>ROUND(R27*(R12)/100,0)</f>
        <v>0</v>
      </c>
      <c r="GL27">
        <f t="shared" si="37"/>
        <v>0</v>
      </c>
      <c r="GM27">
        <f t="shared" si="38"/>
        <v>1619</v>
      </c>
      <c r="GN27">
        <f t="shared" si="39"/>
        <v>1619</v>
      </c>
      <c r="GO27">
        <f t="shared" si="40"/>
        <v>0</v>
      </c>
      <c r="GP27">
        <f t="shared" si="41"/>
        <v>0</v>
      </c>
      <c r="GR27">
        <v>0</v>
      </c>
    </row>
    <row r="28" spans="1:200" ht="12.75">
      <c r="A28">
        <v>17</v>
      </c>
      <c r="B28">
        <v>1</v>
      </c>
      <c r="C28">
        <f>ROW(SmtRes!A36)</f>
        <v>36</v>
      </c>
      <c r="D28">
        <f>ROW(EtalonRes!A52)</f>
        <v>52</v>
      </c>
      <c r="E28" t="s">
        <v>49</v>
      </c>
      <c r="F28" t="s">
        <v>50</v>
      </c>
      <c r="G28" t="s">
        <v>51</v>
      </c>
      <c r="H28" t="s">
        <v>52</v>
      </c>
      <c r="I28">
        <v>0.628</v>
      </c>
      <c r="J28">
        <v>0</v>
      </c>
      <c r="O28">
        <f t="shared" si="10"/>
        <v>17365</v>
      </c>
      <c r="P28">
        <f t="shared" si="11"/>
        <v>15233</v>
      </c>
      <c r="Q28">
        <f t="shared" si="12"/>
        <v>377</v>
      </c>
      <c r="R28">
        <f t="shared" si="13"/>
        <v>0</v>
      </c>
      <c r="S28">
        <f t="shared" si="14"/>
        <v>1755</v>
      </c>
      <c r="T28">
        <f t="shared" si="15"/>
        <v>0</v>
      </c>
      <c r="U28">
        <f t="shared" si="16"/>
        <v>12.645722000000001</v>
      </c>
      <c r="V28">
        <f t="shared" si="17"/>
        <v>0.14129999999999998</v>
      </c>
      <c r="W28">
        <f t="shared" si="18"/>
        <v>0</v>
      </c>
      <c r="X28">
        <f t="shared" si="19"/>
        <v>1895</v>
      </c>
      <c r="Y28">
        <f t="shared" si="20"/>
        <v>970</v>
      </c>
      <c r="AA28">
        <v>27243028</v>
      </c>
      <c r="AB28">
        <f t="shared" si="21"/>
        <v>27650.81</v>
      </c>
      <c r="AC28">
        <f>ROUND((SUM(SmtRes!BQ29:SmtRes!BQ36)),2)</f>
        <v>24256.28</v>
      </c>
      <c r="AD28">
        <f>ROUND((SUM(SmtRes!BR29:SmtRes!BR36)),2)</f>
        <v>600.59</v>
      </c>
      <c r="AE28">
        <f t="shared" si="22"/>
        <v>0</v>
      </c>
      <c r="AF28">
        <f>ROUND((SUM(SmtRes!BT29:SmtRes!BT36)),2)</f>
        <v>2793.94</v>
      </c>
      <c r="AG28">
        <f t="shared" si="23"/>
        <v>0</v>
      </c>
      <c r="AH28">
        <f>(SUM(SmtRes!BU29:SmtRes!BU36))</f>
        <v>20.1365</v>
      </c>
      <c r="AI28">
        <f>(SUM(SmtRes!BV29:SmtRes!BV36))</f>
        <v>0.22499999999999998</v>
      </c>
      <c r="AJ28">
        <f t="shared" si="24"/>
        <v>0</v>
      </c>
      <c r="AK28">
        <v>27166.262440000002</v>
      </c>
      <c r="AL28">
        <v>24256.27564</v>
      </c>
      <c r="AM28">
        <v>480.4743</v>
      </c>
      <c r="AN28">
        <v>0</v>
      </c>
      <c r="AO28">
        <v>2429.5125000000003</v>
      </c>
      <c r="AP28">
        <v>0</v>
      </c>
      <c r="AQ28">
        <v>17.51</v>
      </c>
      <c r="AR28">
        <v>0.18</v>
      </c>
      <c r="AS28">
        <v>0</v>
      </c>
      <c r="AT28">
        <v>108</v>
      </c>
      <c r="AU28">
        <v>55.25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53</v>
      </c>
      <c r="BM28">
        <v>12001</v>
      </c>
      <c r="BN28">
        <v>0</v>
      </c>
      <c r="BP28">
        <v>0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120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25"/>
        <v>17365</v>
      </c>
      <c r="CQ28">
        <f t="shared" si="26"/>
        <v>24256.28</v>
      </c>
      <c r="CR28">
        <f t="shared" si="27"/>
        <v>600.59</v>
      </c>
      <c r="CS28">
        <f t="shared" si="28"/>
        <v>0</v>
      </c>
      <c r="CT28">
        <f t="shared" si="29"/>
        <v>2793.94</v>
      </c>
      <c r="CU28">
        <f t="shared" si="30"/>
        <v>0</v>
      </c>
      <c r="CV28">
        <f t="shared" si="31"/>
        <v>20.1365</v>
      </c>
      <c r="CW28">
        <f t="shared" si="32"/>
        <v>0.22499999999999998</v>
      </c>
      <c r="CX28">
        <f t="shared" si="33"/>
        <v>0</v>
      </c>
      <c r="CY28">
        <f t="shared" si="34"/>
        <v>1895.4</v>
      </c>
      <c r="CZ28">
        <f t="shared" si="35"/>
        <v>969.6374999999999</v>
      </c>
      <c r="DE28" t="s">
        <v>38</v>
      </c>
      <c r="DF28" t="s">
        <v>38</v>
      </c>
      <c r="DG28" t="s">
        <v>39</v>
      </c>
      <c r="DI28" t="s">
        <v>39</v>
      </c>
      <c r="DJ28" t="s">
        <v>38</v>
      </c>
      <c r="DL28" t="s">
        <v>54</v>
      </c>
      <c r="DM28" t="s">
        <v>55</v>
      </c>
      <c r="DN28">
        <v>0</v>
      </c>
      <c r="DO28">
        <v>0</v>
      </c>
      <c r="DP28">
        <v>1</v>
      </c>
      <c r="DQ28">
        <v>1</v>
      </c>
      <c r="DU28">
        <v>1005</v>
      </c>
      <c r="DV28" t="s">
        <v>52</v>
      </c>
      <c r="DW28" t="s">
        <v>52</v>
      </c>
      <c r="DX28">
        <v>100</v>
      </c>
      <c r="EE28">
        <v>25701055</v>
      </c>
      <c r="EF28">
        <v>2</v>
      </c>
      <c r="EG28" t="s">
        <v>19</v>
      </c>
      <c r="EH28">
        <v>0</v>
      </c>
      <c r="EJ28">
        <v>1</v>
      </c>
      <c r="EK28">
        <v>12001</v>
      </c>
      <c r="EL28" t="s">
        <v>56</v>
      </c>
      <c r="EM28" t="s">
        <v>57</v>
      </c>
      <c r="EQ28">
        <v>0</v>
      </c>
      <c r="ER28">
        <v>1786.05</v>
      </c>
      <c r="ES28">
        <v>1541.1</v>
      </c>
      <c r="ET28">
        <v>80.36</v>
      </c>
      <c r="EU28">
        <v>2.43</v>
      </c>
      <c r="EV28">
        <v>164.59</v>
      </c>
      <c r="EW28">
        <v>17.51</v>
      </c>
      <c r="EX28">
        <v>0.18</v>
      </c>
      <c r="EY28">
        <v>0</v>
      </c>
      <c r="FQ28">
        <v>0</v>
      </c>
      <c r="FR28">
        <f t="shared" si="36"/>
        <v>0</v>
      </c>
      <c r="FS28">
        <v>0</v>
      </c>
      <c r="FT28" t="s">
        <v>33</v>
      </c>
      <c r="FU28" t="s">
        <v>22</v>
      </c>
      <c r="FX28">
        <v>108</v>
      </c>
      <c r="FY28">
        <v>55.25</v>
      </c>
      <c r="GF28">
        <v>1385508864</v>
      </c>
      <c r="GG28">
        <v>2</v>
      </c>
      <c r="GH28">
        <v>1</v>
      </c>
      <c r="GI28">
        <v>-2</v>
      </c>
      <c r="GJ28">
        <v>0</v>
      </c>
      <c r="GK28">
        <f>ROUND(R28*(R12)/100,0)</f>
        <v>0</v>
      </c>
      <c r="GL28">
        <f t="shared" si="37"/>
        <v>0</v>
      </c>
      <c r="GM28">
        <f t="shared" si="38"/>
        <v>20230</v>
      </c>
      <c r="GN28">
        <f t="shared" si="39"/>
        <v>20230</v>
      </c>
      <c r="GO28">
        <f t="shared" si="40"/>
        <v>0</v>
      </c>
      <c r="GP28">
        <f t="shared" si="41"/>
        <v>0</v>
      </c>
      <c r="GR28">
        <v>0</v>
      </c>
    </row>
    <row r="29" spans="1:200" ht="12.75">
      <c r="A29">
        <v>17</v>
      </c>
      <c r="B29">
        <v>1</v>
      </c>
      <c r="C29">
        <f>ROW(SmtRes!A45)</f>
        <v>45</v>
      </c>
      <c r="D29">
        <f>ROW(EtalonRes!A62)</f>
        <v>62</v>
      </c>
      <c r="E29" t="s">
        <v>58</v>
      </c>
      <c r="F29" t="s">
        <v>59</v>
      </c>
      <c r="G29" t="s">
        <v>60</v>
      </c>
      <c r="H29" t="s">
        <v>61</v>
      </c>
      <c r="I29">
        <v>1.64</v>
      </c>
      <c r="J29">
        <v>0</v>
      </c>
      <c r="O29">
        <f t="shared" si="10"/>
        <v>56187</v>
      </c>
      <c r="P29">
        <f t="shared" si="11"/>
        <v>42871</v>
      </c>
      <c r="Q29">
        <f t="shared" si="12"/>
        <v>1271</v>
      </c>
      <c r="R29">
        <f t="shared" si="13"/>
        <v>0</v>
      </c>
      <c r="S29">
        <f t="shared" si="14"/>
        <v>12045</v>
      </c>
      <c r="T29">
        <f t="shared" si="15"/>
        <v>0</v>
      </c>
      <c r="U29">
        <f t="shared" si="16"/>
        <v>85.88843999999999</v>
      </c>
      <c r="V29">
        <f t="shared" si="17"/>
        <v>1.1275</v>
      </c>
      <c r="W29">
        <f t="shared" si="18"/>
        <v>0</v>
      </c>
      <c r="X29">
        <f t="shared" si="19"/>
        <v>13009</v>
      </c>
      <c r="Y29">
        <f t="shared" si="20"/>
        <v>6655</v>
      </c>
      <c r="AA29">
        <v>27243028</v>
      </c>
      <c r="AB29">
        <f t="shared" si="21"/>
        <v>34260.36</v>
      </c>
      <c r="AC29">
        <f>ROUND((SUM(SmtRes!BQ37:SmtRes!BQ45)),2)</f>
        <v>26140.92</v>
      </c>
      <c r="AD29">
        <f>ROUND((SUM(SmtRes!BR37:SmtRes!BR45)),2)</f>
        <v>774.93</v>
      </c>
      <c r="AE29">
        <f t="shared" si="22"/>
        <v>0</v>
      </c>
      <c r="AF29">
        <f>ROUND((SUM(SmtRes!BT37:SmtRes!BT45)),2)</f>
        <v>7344.51</v>
      </c>
      <c r="AG29">
        <f t="shared" si="23"/>
        <v>0</v>
      </c>
      <c r="AH29">
        <f>(SUM(SmtRes!BU37:SmtRes!BU45))</f>
        <v>52.370999999999995</v>
      </c>
      <c r="AI29">
        <f>(SUM(SmtRes!BV37:SmtRes!BV45))</f>
        <v>0.6875</v>
      </c>
      <c r="AJ29">
        <f t="shared" si="24"/>
        <v>0</v>
      </c>
      <c r="AK29">
        <v>33147.3855</v>
      </c>
      <c r="AL29">
        <v>26140.914999999997</v>
      </c>
      <c r="AM29">
        <v>619.9409</v>
      </c>
      <c r="AN29">
        <v>0</v>
      </c>
      <c r="AO29">
        <v>6386.5296</v>
      </c>
      <c r="AP29">
        <v>0</v>
      </c>
      <c r="AQ29">
        <v>45.54</v>
      </c>
      <c r="AR29">
        <v>0.55</v>
      </c>
      <c r="AS29">
        <v>0</v>
      </c>
      <c r="AT29">
        <v>108</v>
      </c>
      <c r="AU29">
        <v>55.25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62</v>
      </c>
      <c r="BM29">
        <v>12001</v>
      </c>
      <c r="BN29">
        <v>0</v>
      </c>
      <c r="BP29">
        <v>0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120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25"/>
        <v>56187</v>
      </c>
      <c r="CQ29">
        <f t="shared" si="26"/>
        <v>26140.92</v>
      </c>
      <c r="CR29">
        <f t="shared" si="27"/>
        <v>774.93</v>
      </c>
      <c r="CS29">
        <f t="shared" si="28"/>
        <v>0</v>
      </c>
      <c r="CT29">
        <f t="shared" si="29"/>
        <v>7344.51</v>
      </c>
      <c r="CU29">
        <f t="shared" si="30"/>
        <v>0</v>
      </c>
      <c r="CV29">
        <f t="shared" si="31"/>
        <v>52.370999999999995</v>
      </c>
      <c r="CW29">
        <f t="shared" si="32"/>
        <v>0.6875</v>
      </c>
      <c r="CX29">
        <f t="shared" si="33"/>
        <v>0</v>
      </c>
      <c r="CY29">
        <f t="shared" si="34"/>
        <v>13008.6</v>
      </c>
      <c r="CZ29">
        <f t="shared" si="35"/>
        <v>6654.8625</v>
      </c>
      <c r="DE29" t="s">
        <v>38</v>
      </c>
      <c r="DF29" t="s">
        <v>38</v>
      </c>
      <c r="DG29" t="s">
        <v>39</v>
      </c>
      <c r="DI29" t="s">
        <v>39</v>
      </c>
      <c r="DJ29" t="s">
        <v>38</v>
      </c>
      <c r="DL29" t="s">
        <v>54</v>
      </c>
      <c r="DM29" t="s">
        <v>55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61</v>
      </c>
      <c r="DW29" t="s">
        <v>61</v>
      </c>
      <c r="DX29">
        <v>1</v>
      </c>
      <c r="EE29">
        <v>25701055</v>
      </c>
      <c r="EF29">
        <v>2</v>
      </c>
      <c r="EG29" t="s">
        <v>19</v>
      </c>
      <c r="EH29">
        <v>0</v>
      </c>
      <c r="EJ29">
        <v>1</v>
      </c>
      <c r="EK29">
        <v>12001</v>
      </c>
      <c r="EL29" t="s">
        <v>56</v>
      </c>
      <c r="EM29" t="s">
        <v>57</v>
      </c>
      <c r="EQ29">
        <v>0</v>
      </c>
      <c r="ER29">
        <v>4711.58</v>
      </c>
      <c r="ES29">
        <v>4146.24</v>
      </c>
      <c r="ET29">
        <v>132.25</v>
      </c>
      <c r="EU29">
        <v>7.43</v>
      </c>
      <c r="EV29">
        <v>433.09</v>
      </c>
      <c r="EW29">
        <v>45.54</v>
      </c>
      <c r="EX29">
        <v>0.55</v>
      </c>
      <c r="EY29">
        <v>0</v>
      </c>
      <c r="FQ29">
        <v>0</v>
      </c>
      <c r="FR29">
        <f t="shared" si="36"/>
        <v>0</v>
      </c>
      <c r="FS29">
        <v>0</v>
      </c>
      <c r="FT29" t="s">
        <v>33</v>
      </c>
      <c r="FU29" t="s">
        <v>22</v>
      </c>
      <c r="FX29">
        <v>108</v>
      </c>
      <c r="FY29">
        <v>55.25</v>
      </c>
      <c r="GF29">
        <v>-2088622379</v>
      </c>
      <c r="GG29">
        <v>2</v>
      </c>
      <c r="GH29">
        <v>1</v>
      </c>
      <c r="GI29">
        <v>-2</v>
      </c>
      <c r="GJ29">
        <v>0</v>
      </c>
      <c r="GK29">
        <f>ROUND(R29*(R12)/100,0)</f>
        <v>0</v>
      </c>
      <c r="GL29">
        <f t="shared" si="37"/>
        <v>0</v>
      </c>
      <c r="GM29">
        <f t="shared" si="38"/>
        <v>75851</v>
      </c>
      <c r="GN29">
        <f t="shared" si="39"/>
        <v>75851</v>
      </c>
      <c r="GO29">
        <f t="shared" si="40"/>
        <v>0</v>
      </c>
      <c r="GP29">
        <f t="shared" si="41"/>
        <v>0</v>
      </c>
      <c r="GR29">
        <v>0</v>
      </c>
    </row>
    <row r="30" spans="1:200" ht="12.75">
      <c r="A30">
        <v>17</v>
      </c>
      <c r="B30">
        <v>1</v>
      </c>
      <c r="C30">
        <f>ROW(SmtRes!A54)</f>
        <v>54</v>
      </c>
      <c r="D30">
        <f>ROW(EtalonRes!A70)</f>
        <v>70</v>
      </c>
      <c r="E30" t="s">
        <v>63</v>
      </c>
      <c r="F30" t="s">
        <v>64</v>
      </c>
      <c r="G30" t="s">
        <v>65</v>
      </c>
      <c r="H30" t="s">
        <v>61</v>
      </c>
      <c r="I30">
        <v>1.64</v>
      </c>
      <c r="J30">
        <v>0</v>
      </c>
      <c r="O30">
        <f t="shared" si="10"/>
        <v>115368</v>
      </c>
      <c r="P30">
        <f t="shared" si="11"/>
        <v>94174</v>
      </c>
      <c r="Q30">
        <f t="shared" si="12"/>
        <v>2542</v>
      </c>
      <c r="R30">
        <f t="shared" si="13"/>
        <v>0</v>
      </c>
      <c r="S30">
        <f t="shared" si="14"/>
        <v>18652</v>
      </c>
      <c r="T30">
        <f t="shared" si="15"/>
        <v>0</v>
      </c>
      <c r="U30">
        <f t="shared" si="16"/>
        <v>133.00071999999997</v>
      </c>
      <c r="V30">
        <f t="shared" si="17"/>
        <v>2.255</v>
      </c>
      <c r="W30">
        <f t="shared" si="18"/>
        <v>0</v>
      </c>
      <c r="X30">
        <f t="shared" si="19"/>
        <v>20144</v>
      </c>
      <c r="Y30">
        <f t="shared" si="20"/>
        <v>10305</v>
      </c>
      <c r="AA30">
        <v>27243028</v>
      </c>
      <c r="AB30">
        <f t="shared" si="21"/>
        <v>70346.17</v>
      </c>
      <c r="AC30">
        <f>ROUND((SUM(SmtRes!BQ46:SmtRes!BQ54)),2)</f>
        <v>57423.14</v>
      </c>
      <c r="AD30">
        <f>ROUND((SUM(SmtRes!BR46:SmtRes!BR54)),2)</f>
        <v>1549.85</v>
      </c>
      <c r="AE30">
        <f t="shared" si="22"/>
        <v>0</v>
      </c>
      <c r="AF30">
        <f>ROUND((SUM(SmtRes!BT46:SmtRes!BT54)),2)</f>
        <v>11373.18</v>
      </c>
      <c r="AG30">
        <f t="shared" si="23"/>
        <v>0</v>
      </c>
      <c r="AH30">
        <f>(SUM(SmtRes!BU46:SmtRes!BU54))</f>
        <v>81.09799999999998</v>
      </c>
      <c r="AI30">
        <f>(SUM(SmtRes!BV46:SmtRes!BV54))</f>
        <v>1.375</v>
      </c>
      <c r="AJ30">
        <f t="shared" si="24"/>
        <v>0</v>
      </c>
      <c r="AK30">
        <v>34276.3717</v>
      </c>
      <c r="AL30">
        <v>28711.5684</v>
      </c>
      <c r="AM30">
        <v>619.9409</v>
      </c>
      <c r="AN30">
        <v>0</v>
      </c>
      <c r="AO30">
        <v>4944.8624</v>
      </c>
      <c r="AP30">
        <v>0</v>
      </c>
      <c r="AQ30">
        <v>35.26</v>
      </c>
      <c r="AR30">
        <v>0.55</v>
      </c>
      <c r="AS30">
        <v>0</v>
      </c>
      <c r="AT30">
        <v>108</v>
      </c>
      <c r="AU30">
        <v>55.25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66</v>
      </c>
      <c r="BM30">
        <v>12001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120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25"/>
        <v>115368</v>
      </c>
      <c r="CQ30">
        <f t="shared" si="26"/>
        <v>57423.14</v>
      </c>
      <c r="CR30">
        <f t="shared" si="27"/>
        <v>1549.85</v>
      </c>
      <c r="CS30">
        <f t="shared" si="28"/>
        <v>0</v>
      </c>
      <c r="CT30">
        <f t="shared" si="29"/>
        <v>11373.18</v>
      </c>
      <c r="CU30">
        <f t="shared" si="30"/>
        <v>0</v>
      </c>
      <c r="CV30">
        <f t="shared" si="31"/>
        <v>81.09799999999998</v>
      </c>
      <c r="CW30">
        <f t="shared" si="32"/>
        <v>1.375</v>
      </c>
      <c r="CX30">
        <f t="shared" si="33"/>
        <v>0</v>
      </c>
      <c r="CY30">
        <f t="shared" si="34"/>
        <v>20144.16</v>
      </c>
      <c r="CZ30">
        <f t="shared" si="35"/>
        <v>10305.23</v>
      </c>
      <c r="DD30" t="s">
        <v>67</v>
      </c>
      <c r="DE30" t="s">
        <v>68</v>
      </c>
      <c r="DF30" t="s">
        <v>68</v>
      </c>
      <c r="DG30" t="s">
        <v>69</v>
      </c>
      <c r="DI30" t="s">
        <v>69</v>
      </c>
      <c r="DJ30" t="s">
        <v>68</v>
      </c>
      <c r="DL30" t="s">
        <v>54</v>
      </c>
      <c r="DM30" t="s">
        <v>55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61</v>
      </c>
      <c r="DW30" t="s">
        <v>61</v>
      </c>
      <c r="DX30">
        <v>1</v>
      </c>
      <c r="EE30">
        <v>25701055</v>
      </c>
      <c r="EF30">
        <v>2</v>
      </c>
      <c r="EG30" t="s">
        <v>19</v>
      </c>
      <c r="EH30">
        <v>0</v>
      </c>
      <c r="EJ30">
        <v>1</v>
      </c>
      <c r="EK30">
        <v>12001</v>
      </c>
      <c r="EL30" t="s">
        <v>56</v>
      </c>
      <c r="EM30" t="s">
        <v>57</v>
      </c>
      <c r="EQ30">
        <v>0</v>
      </c>
      <c r="ER30">
        <v>4418.66</v>
      </c>
      <c r="ES30">
        <v>3956.79</v>
      </c>
      <c r="ET30">
        <v>126.55</v>
      </c>
      <c r="EU30">
        <v>7.43</v>
      </c>
      <c r="EV30">
        <v>335.32</v>
      </c>
      <c r="EW30">
        <v>35.26</v>
      </c>
      <c r="EX30">
        <v>0.55</v>
      </c>
      <c r="EY30">
        <v>0</v>
      </c>
      <c r="FQ30">
        <v>0</v>
      </c>
      <c r="FR30">
        <f t="shared" si="36"/>
        <v>0</v>
      </c>
      <c r="FS30">
        <v>0</v>
      </c>
      <c r="FT30" t="s">
        <v>33</v>
      </c>
      <c r="FU30" t="s">
        <v>22</v>
      </c>
      <c r="FX30">
        <v>108</v>
      </c>
      <c r="FY30">
        <v>55.25</v>
      </c>
      <c r="GF30">
        <v>-1997493489</v>
      </c>
      <c r="GG30">
        <v>2</v>
      </c>
      <c r="GH30">
        <v>1</v>
      </c>
      <c r="GI30">
        <v>-2</v>
      </c>
      <c r="GJ30">
        <v>0</v>
      </c>
      <c r="GK30">
        <f>ROUND(R30*(R12)/100,0)</f>
        <v>0</v>
      </c>
      <c r="GL30">
        <f t="shared" si="37"/>
        <v>0</v>
      </c>
      <c r="GM30">
        <f t="shared" si="38"/>
        <v>145817</v>
      </c>
      <c r="GN30">
        <f t="shared" si="39"/>
        <v>145817</v>
      </c>
      <c r="GO30">
        <f t="shared" si="40"/>
        <v>0</v>
      </c>
      <c r="GP30">
        <f t="shared" si="41"/>
        <v>0</v>
      </c>
      <c r="GR30">
        <v>0</v>
      </c>
    </row>
    <row r="31" spans="1:200" ht="12.75">
      <c r="A31">
        <v>17</v>
      </c>
      <c r="B31">
        <v>1</v>
      </c>
      <c r="C31">
        <f>ROW(SmtRes!A72)</f>
        <v>72</v>
      </c>
      <c r="D31">
        <f>ROW(EtalonRes!A92)</f>
        <v>92</v>
      </c>
      <c r="E31" t="s">
        <v>70</v>
      </c>
      <c r="F31" t="s">
        <v>71</v>
      </c>
      <c r="G31" t="s">
        <v>72</v>
      </c>
      <c r="H31" t="s">
        <v>73</v>
      </c>
      <c r="I31">
        <v>1.44</v>
      </c>
      <c r="J31">
        <v>0</v>
      </c>
      <c r="O31">
        <f t="shared" si="10"/>
        <v>69060</v>
      </c>
      <c r="P31">
        <f t="shared" si="11"/>
        <v>49032</v>
      </c>
      <c r="Q31">
        <f t="shared" si="12"/>
        <v>6520</v>
      </c>
      <c r="R31">
        <f t="shared" si="13"/>
        <v>0</v>
      </c>
      <c r="S31">
        <f t="shared" si="14"/>
        <v>13508</v>
      </c>
      <c r="T31">
        <f t="shared" si="15"/>
        <v>0</v>
      </c>
      <c r="U31">
        <f t="shared" si="16"/>
        <v>104.79167999999999</v>
      </c>
      <c r="V31">
        <f t="shared" si="17"/>
        <v>6.875999999999999</v>
      </c>
      <c r="W31">
        <f t="shared" si="18"/>
        <v>0</v>
      </c>
      <c r="X31">
        <f t="shared" si="19"/>
        <v>10941</v>
      </c>
      <c r="Y31">
        <f t="shared" si="20"/>
        <v>9760</v>
      </c>
      <c r="AA31">
        <v>27243028</v>
      </c>
      <c r="AB31">
        <f t="shared" si="21"/>
        <v>47957.81</v>
      </c>
      <c r="AC31">
        <f>ROUND((SUM(SmtRes!BQ55:SmtRes!BQ72)),2)</f>
        <v>34049.67</v>
      </c>
      <c r="AD31">
        <f>ROUND((SUM(SmtRes!BR55:SmtRes!BR72)),2)</f>
        <v>4527.83</v>
      </c>
      <c r="AE31">
        <f t="shared" si="22"/>
        <v>0</v>
      </c>
      <c r="AF31">
        <f>ROUND((SUM(SmtRes!BT55:SmtRes!BT72)),2)</f>
        <v>9380.31</v>
      </c>
      <c r="AG31">
        <f t="shared" si="23"/>
        <v>0</v>
      </c>
      <c r="AH31">
        <f>(SUM(SmtRes!BU55:SmtRes!BU72))</f>
        <v>72.77199999999999</v>
      </c>
      <c r="AI31">
        <f>(SUM(SmtRes!BV55:SmtRes!BV72))</f>
        <v>4.7749999999999995</v>
      </c>
      <c r="AJ31">
        <f t="shared" si="24"/>
        <v>0</v>
      </c>
      <c r="AK31">
        <v>45828.7221299</v>
      </c>
      <c r="AL31">
        <v>34049.6686299</v>
      </c>
      <c r="AM31">
        <v>3622.2614999999996</v>
      </c>
      <c r="AN31">
        <v>0</v>
      </c>
      <c r="AO31">
        <v>8156.792</v>
      </c>
      <c r="AP31">
        <v>0</v>
      </c>
      <c r="AQ31">
        <v>63.28</v>
      </c>
      <c r="AR31">
        <v>3.82</v>
      </c>
      <c r="AS31">
        <v>0</v>
      </c>
      <c r="AT31">
        <v>81</v>
      </c>
      <c r="AU31">
        <v>72.25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74</v>
      </c>
      <c r="BM31">
        <v>9001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90</v>
      </c>
      <c r="CA31">
        <v>85</v>
      </c>
      <c r="CF31">
        <v>0</v>
      </c>
      <c r="CG31">
        <v>0</v>
      </c>
      <c r="CM31">
        <v>0</v>
      </c>
      <c r="CO31">
        <v>0</v>
      </c>
      <c r="CP31">
        <f t="shared" si="25"/>
        <v>69060</v>
      </c>
      <c r="CQ31">
        <f t="shared" si="26"/>
        <v>34049.67</v>
      </c>
      <c r="CR31">
        <f t="shared" si="27"/>
        <v>4527.83</v>
      </c>
      <c r="CS31">
        <f t="shared" si="28"/>
        <v>0</v>
      </c>
      <c r="CT31">
        <f t="shared" si="29"/>
        <v>9380.31</v>
      </c>
      <c r="CU31">
        <f t="shared" si="30"/>
        <v>0</v>
      </c>
      <c r="CV31">
        <f t="shared" si="31"/>
        <v>72.77199999999999</v>
      </c>
      <c r="CW31">
        <f t="shared" si="32"/>
        <v>4.7749999999999995</v>
      </c>
      <c r="CX31">
        <f t="shared" si="33"/>
        <v>0</v>
      </c>
      <c r="CY31">
        <f t="shared" si="34"/>
        <v>10941.480000000001</v>
      </c>
      <c r="CZ31">
        <f t="shared" si="35"/>
        <v>9759.53</v>
      </c>
      <c r="DE31" t="s">
        <v>38</v>
      </c>
      <c r="DF31" t="s">
        <v>38</v>
      </c>
      <c r="DG31" t="s">
        <v>39</v>
      </c>
      <c r="DI31" t="s">
        <v>39</v>
      </c>
      <c r="DJ31" t="s">
        <v>38</v>
      </c>
      <c r="DL31" t="s">
        <v>40</v>
      </c>
      <c r="DM31" t="s">
        <v>41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73</v>
      </c>
      <c r="DW31" t="s">
        <v>73</v>
      </c>
      <c r="DX31">
        <v>1</v>
      </c>
      <c r="EE31">
        <v>25701052</v>
      </c>
      <c r="EF31">
        <v>2</v>
      </c>
      <c r="EG31" t="s">
        <v>19</v>
      </c>
      <c r="EH31">
        <v>0</v>
      </c>
      <c r="EJ31">
        <v>1</v>
      </c>
      <c r="EK31">
        <v>9001</v>
      </c>
      <c r="EL31" t="s">
        <v>42</v>
      </c>
      <c r="EM31" t="s">
        <v>43</v>
      </c>
      <c r="EQ31">
        <v>131072</v>
      </c>
      <c r="ER31">
        <v>1462.33</v>
      </c>
      <c r="ES31">
        <v>232.35</v>
      </c>
      <c r="ET31">
        <v>676.91</v>
      </c>
      <c r="EU31">
        <v>55.01</v>
      </c>
      <c r="EV31">
        <v>553.07</v>
      </c>
      <c r="EW31">
        <v>63.28</v>
      </c>
      <c r="EX31">
        <v>3.82</v>
      </c>
      <c r="EY31">
        <v>0</v>
      </c>
      <c r="FQ31">
        <v>0</v>
      </c>
      <c r="FR31">
        <f t="shared" si="36"/>
        <v>0</v>
      </c>
      <c r="FS31">
        <v>0</v>
      </c>
      <c r="FT31" t="s">
        <v>33</v>
      </c>
      <c r="FU31" t="s">
        <v>22</v>
      </c>
      <c r="FX31">
        <v>81</v>
      </c>
      <c r="FY31">
        <v>72.25</v>
      </c>
      <c r="GF31">
        <v>-183722471</v>
      </c>
      <c r="GG31">
        <v>2</v>
      </c>
      <c r="GH31">
        <v>1</v>
      </c>
      <c r="GI31">
        <v>-2</v>
      </c>
      <c r="GJ31">
        <v>0</v>
      </c>
      <c r="GK31">
        <f>ROUND(R31*(R12)/100,0)</f>
        <v>0</v>
      </c>
      <c r="GL31">
        <f t="shared" si="37"/>
        <v>0</v>
      </c>
      <c r="GM31">
        <f t="shared" si="38"/>
        <v>89761</v>
      </c>
      <c r="GN31">
        <f t="shared" si="39"/>
        <v>89761</v>
      </c>
      <c r="GO31">
        <f t="shared" si="40"/>
        <v>0</v>
      </c>
      <c r="GP31">
        <f t="shared" si="41"/>
        <v>0</v>
      </c>
      <c r="GR31">
        <v>0</v>
      </c>
    </row>
    <row r="32" spans="1:200" ht="12.75">
      <c r="A32">
        <v>17</v>
      </c>
      <c r="B32">
        <v>1</v>
      </c>
      <c r="C32">
        <f>ROW(SmtRes!A79)</f>
        <v>79</v>
      </c>
      <c r="D32">
        <f>ROW(EtalonRes!A99)</f>
        <v>99</v>
      </c>
      <c r="E32" t="s">
        <v>75</v>
      </c>
      <c r="F32" t="s">
        <v>76</v>
      </c>
      <c r="G32" t="s">
        <v>77</v>
      </c>
      <c r="H32" t="s">
        <v>78</v>
      </c>
      <c r="I32">
        <v>1.444</v>
      </c>
      <c r="J32">
        <v>0</v>
      </c>
      <c r="O32">
        <f t="shared" si="10"/>
        <v>76689</v>
      </c>
      <c r="P32">
        <f t="shared" si="11"/>
        <v>45684</v>
      </c>
      <c r="Q32">
        <f t="shared" si="12"/>
        <v>1151</v>
      </c>
      <c r="R32">
        <f t="shared" si="13"/>
        <v>0</v>
      </c>
      <c r="S32">
        <f t="shared" si="14"/>
        <v>29854</v>
      </c>
      <c r="T32">
        <f t="shared" si="15"/>
        <v>0</v>
      </c>
      <c r="U32">
        <f t="shared" si="16"/>
        <v>237.46579999999997</v>
      </c>
      <c r="V32">
        <f t="shared" si="17"/>
        <v>0</v>
      </c>
      <c r="W32">
        <f t="shared" si="18"/>
        <v>0</v>
      </c>
      <c r="X32">
        <f t="shared" si="19"/>
        <v>31705</v>
      </c>
      <c r="Y32">
        <f t="shared" si="20"/>
        <v>15987</v>
      </c>
      <c r="AA32">
        <v>27243028</v>
      </c>
      <c r="AB32">
        <f t="shared" si="21"/>
        <v>53109.12</v>
      </c>
      <c r="AC32">
        <f>ROUND((SUM(SmtRes!BQ73:SmtRes!BQ79)),2)</f>
        <v>31637.41</v>
      </c>
      <c r="AD32">
        <f>ROUND((SUM(SmtRes!BR73:SmtRes!BR79)),2)</f>
        <v>797.06</v>
      </c>
      <c r="AE32">
        <f t="shared" si="22"/>
        <v>0</v>
      </c>
      <c r="AF32">
        <f>ROUND((SUM(SmtRes!BT73:SmtRes!BT79)),2)</f>
        <v>20674.65</v>
      </c>
      <c r="AG32">
        <f t="shared" si="23"/>
        <v>0</v>
      </c>
      <c r="AH32">
        <f>(SUM(SmtRes!BU73:SmtRes!BU79))</f>
        <v>164.45</v>
      </c>
      <c r="AI32">
        <f>(0)</f>
        <v>0</v>
      </c>
      <c r="AJ32">
        <f t="shared" si="24"/>
        <v>0</v>
      </c>
      <c r="AK32">
        <v>50253.013999999996</v>
      </c>
      <c r="AL32">
        <v>31637.405</v>
      </c>
      <c r="AM32">
        <v>637.6490000000001</v>
      </c>
      <c r="AN32">
        <v>0</v>
      </c>
      <c r="AO32">
        <v>17977.96</v>
      </c>
      <c r="AP32">
        <v>0</v>
      </c>
      <c r="AQ32">
        <v>143</v>
      </c>
      <c r="AR32">
        <v>0</v>
      </c>
      <c r="AS32">
        <v>0</v>
      </c>
      <c r="AT32">
        <v>106.2</v>
      </c>
      <c r="AU32">
        <v>53.55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79</v>
      </c>
      <c r="BM32">
        <v>10001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118</v>
      </c>
      <c r="CA32">
        <v>63</v>
      </c>
      <c r="CF32">
        <v>0</v>
      </c>
      <c r="CG32">
        <v>0</v>
      </c>
      <c r="CM32">
        <v>0</v>
      </c>
      <c r="CO32">
        <v>0</v>
      </c>
      <c r="CP32">
        <f t="shared" si="25"/>
        <v>76689</v>
      </c>
      <c r="CQ32">
        <f t="shared" si="26"/>
        <v>31637.41</v>
      </c>
      <c r="CR32">
        <f t="shared" si="27"/>
        <v>797.06</v>
      </c>
      <c r="CS32">
        <f t="shared" si="28"/>
        <v>0</v>
      </c>
      <c r="CT32">
        <f t="shared" si="29"/>
        <v>20674.65</v>
      </c>
      <c r="CU32">
        <f t="shared" si="30"/>
        <v>0</v>
      </c>
      <c r="CV32">
        <f t="shared" si="31"/>
        <v>164.45</v>
      </c>
      <c r="CW32">
        <f t="shared" si="32"/>
        <v>0</v>
      </c>
      <c r="CX32">
        <f t="shared" si="33"/>
        <v>0</v>
      </c>
      <c r="CY32">
        <f t="shared" si="34"/>
        <v>31704.948</v>
      </c>
      <c r="CZ32">
        <f t="shared" si="35"/>
        <v>15986.817</v>
      </c>
      <c r="DE32" t="s">
        <v>38</v>
      </c>
      <c r="DF32" t="s">
        <v>38</v>
      </c>
      <c r="DG32" t="s">
        <v>39</v>
      </c>
      <c r="DI32" t="s">
        <v>39</v>
      </c>
      <c r="DJ32" t="s">
        <v>38</v>
      </c>
      <c r="DL32" t="s">
        <v>80</v>
      </c>
      <c r="DM32" t="s">
        <v>81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78</v>
      </c>
      <c r="DW32" t="s">
        <v>78</v>
      </c>
      <c r="DX32">
        <v>1</v>
      </c>
      <c r="EE32">
        <v>25701053</v>
      </c>
      <c r="EF32">
        <v>2</v>
      </c>
      <c r="EG32" t="s">
        <v>19</v>
      </c>
      <c r="EH32">
        <v>0</v>
      </c>
      <c r="EJ32">
        <v>1</v>
      </c>
      <c r="EK32">
        <v>10001</v>
      </c>
      <c r="EL32" t="s">
        <v>31</v>
      </c>
      <c r="EM32" t="s">
        <v>32</v>
      </c>
      <c r="EQ32">
        <v>131072</v>
      </c>
      <c r="ER32">
        <v>4440.01</v>
      </c>
      <c r="ES32">
        <v>3330.14</v>
      </c>
      <c r="ET32">
        <v>81.7</v>
      </c>
      <c r="EU32">
        <v>0</v>
      </c>
      <c r="EV32">
        <v>1028.17</v>
      </c>
      <c r="EW32">
        <v>143</v>
      </c>
      <c r="EX32">
        <v>0</v>
      </c>
      <c r="EY32">
        <v>0</v>
      </c>
      <c r="FQ32">
        <v>0</v>
      </c>
      <c r="FR32">
        <f t="shared" si="36"/>
        <v>0</v>
      </c>
      <c r="FS32">
        <v>0</v>
      </c>
      <c r="FT32" t="s">
        <v>33</v>
      </c>
      <c r="FU32" t="s">
        <v>22</v>
      </c>
      <c r="FX32">
        <v>106.2</v>
      </c>
      <c r="FY32">
        <v>53.55</v>
      </c>
      <c r="GF32">
        <v>1385217669</v>
      </c>
      <c r="GG32">
        <v>2</v>
      </c>
      <c r="GH32">
        <v>0</v>
      </c>
      <c r="GI32">
        <v>-2</v>
      </c>
      <c r="GJ32">
        <v>0</v>
      </c>
      <c r="GK32">
        <f>ROUND(R32*(R12)/100,0)</f>
        <v>0</v>
      </c>
      <c r="GL32">
        <f t="shared" si="37"/>
        <v>0</v>
      </c>
      <c r="GM32">
        <f t="shared" si="38"/>
        <v>124381</v>
      </c>
      <c r="GN32">
        <f t="shared" si="39"/>
        <v>124381</v>
      </c>
      <c r="GO32">
        <f t="shared" si="40"/>
        <v>0</v>
      </c>
      <c r="GP32">
        <f t="shared" si="41"/>
        <v>0</v>
      </c>
      <c r="GR32">
        <v>0</v>
      </c>
    </row>
    <row r="33" spans="1:200" ht="12.75">
      <c r="A33">
        <v>17</v>
      </c>
      <c r="B33">
        <v>1</v>
      </c>
      <c r="C33">
        <f>ROW(SmtRes!A101)</f>
        <v>101</v>
      </c>
      <c r="D33">
        <f>ROW(EtalonRes!A116)</f>
        <v>116</v>
      </c>
      <c r="E33" t="s">
        <v>82</v>
      </c>
      <c r="F33" t="s">
        <v>83</v>
      </c>
      <c r="G33" t="s">
        <v>84</v>
      </c>
      <c r="H33" t="s">
        <v>85</v>
      </c>
      <c r="I33">
        <v>6.73</v>
      </c>
      <c r="J33">
        <v>0</v>
      </c>
      <c r="O33">
        <f t="shared" si="10"/>
        <v>1560440</v>
      </c>
      <c r="P33">
        <f t="shared" si="11"/>
        <v>1493739</v>
      </c>
      <c r="Q33">
        <f t="shared" si="12"/>
        <v>3631</v>
      </c>
      <c r="R33">
        <f t="shared" si="13"/>
        <v>0</v>
      </c>
      <c r="S33">
        <f t="shared" si="14"/>
        <v>63070</v>
      </c>
      <c r="T33">
        <f t="shared" si="15"/>
        <v>0</v>
      </c>
      <c r="U33">
        <f t="shared" si="16"/>
        <v>476.75319999999994</v>
      </c>
      <c r="V33">
        <f t="shared" si="17"/>
        <v>0.84125</v>
      </c>
      <c r="W33">
        <f t="shared" si="18"/>
        <v>0</v>
      </c>
      <c r="X33">
        <f t="shared" si="19"/>
        <v>68116</v>
      </c>
      <c r="Y33">
        <f t="shared" si="20"/>
        <v>34846</v>
      </c>
      <c r="AA33">
        <v>27243028</v>
      </c>
      <c r="AB33">
        <f t="shared" si="21"/>
        <v>231863.35</v>
      </c>
      <c r="AC33">
        <f>ROUND((SUM(SmtRes!BQ80:SmtRes!BQ101)),2)</f>
        <v>221952.36</v>
      </c>
      <c r="AD33">
        <f>ROUND((SUM(SmtRes!BR80:SmtRes!BR101)),2)</f>
        <v>539.57</v>
      </c>
      <c r="AE33">
        <f t="shared" si="22"/>
        <v>0</v>
      </c>
      <c r="AF33">
        <f>ROUND((SUM(SmtRes!BT80:SmtRes!BT101)),2)</f>
        <v>9371.42</v>
      </c>
      <c r="AG33">
        <f t="shared" si="23"/>
        <v>0</v>
      </c>
      <c r="AH33">
        <f>(SUM(SmtRes!BU80:SmtRes!BU101))</f>
        <v>70.83999999999999</v>
      </c>
      <c r="AI33">
        <f>(SUM(SmtRes!BV80:SmtRes!BV101))</f>
        <v>0.125</v>
      </c>
      <c r="AJ33">
        <f t="shared" si="24"/>
        <v>0</v>
      </c>
      <c r="AK33">
        <v>230533.08636860683</v>
      </c>
      <c r="AL33">
        <v>221952.36426860682</v>
      </c>
      <c r="AM33">
        <v>431.6581</v>
      </c>
      <c r="AN33">
        <v>0</v>
      </c>
      <c r="AO33">
        <v>8149.063999999999</v>
      </c>
      <c r="AP33">
        <v>0</v>
      </c>
      <c r="AQ33">
        <v>61.6</v>
      </c>
      <c r="AR33">
        <v>0.1</v>
      </c>
      <c r="AS33">
        <v>0</v>
      </c>
      <c r="AT33">
        <v>108</v>
      </c>
      <c r="AU33">
        <v>55.25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86</v>
      </c>
      <c r="BM33">
        <v>12001</v>
      </c>
      <c r="BN33">
        <v>0</v>
      </c>
      <c r="BP33">
        <v>0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120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5"/>
        <v>1560440</v>
      </c>
      <c r="CQ33">
        <f t="shared" si="26"/>
        <v>221952.36</v>
      </c>
      <c r="CR33">
        <f t="shared" si="27"/>
        <v>539.57</v>
      </c>
      <c r="CS33">
        <f t="shared" si="28"/>
        <v>0</v>
      </c>
      <c r="CT33">
        <f t="shared" si="29"/>
        <v>9371.42</v>
      </c>
      <c r="CU33">
        <f t="shared" si="30"/>
        <v>0</v>
      </c>
      <c r="CV33">
        <f t="shared" si="31"/>
        <v>70.83999999999999</v>
      </c>
      <c r="CW33">
        <f t="shared" si="32"/>
        <v>0.125</v>
      </c>
      <c r="CX33">
        <f t="shared" si="33"/>
        <v>0</v>
      </c>
      <c r="CY33">
        <f t="shared" si="34"/>
        <v>68115.6</v>
      </c>
      <c r="CZ33">
        <f t="shared" si="35"/>
        <v>34846.175</v>
      </c>
      <c r="DE33" t="s">
        <v>38</v>
      </c>
      <c r="DF33" t="s">
        <v>38</v>
      </c>
      <c r="DG33" t="s">
        <v>39</v>
      </c>
      <c r="DI33" t="s">
        <v>39</v>
      </c>
      <c r="DJ33" t="s">
        <v>38</v>
      </c>
      <c r="DL33" t="s">
        <v>54</v>
      </c>
      <c r="DM33" t="s">
        <v>55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85</v>
      </c>
      <c r="DW33" t="s">
        <v>85</v>
      </c>
      <c r="DX33">
        <v>1</v>
      </c>
      <c r="EE33">
        <v>25701055</v>
      </c>
      <c r="EF33">
        <v>2</v>
      </c>
      <c r="EG33" t="s">
        <v>19</v>
      </c>
      <c r="EH33">
        <v>0</v>
      </c>
      <c r="EJ33">
        <v>1</v>
      </c>
      <c r="EK33">
        <v>12001</v>
      </c>
      <c r="EL33" t="s">
        <v>56</v>
      </c>
      <c r="EM33" t="s">
        <v>57</v>
      </c>
      <c r="EQ33">
        <v>131072</v>
      </c>
      <c r="ER33">
        <v>1690.68</v>
      </c>
      <c r="ES33">
        <v>1122</v>
      </c>
      <c r="ET33">
        <v>102.98</v>
      </c>
      <c r="EU33">
        <v>1.14</v>
      </c>
      <c r="EV33">
        <v>465.7</v>
      </c>
      <c r="EW33">
        <v>61.6</v>
      </c>
      <c r="EX33">
        <v>0.1</v>
      </c>
      <c r="EY33">
        <v>0</v>
      </c>
      <c r="FQ33">
        <v>0</v>
      </c>
      <c r="FR33">
        <f t="shared" si="36"/>
        <v>0</v>
      </c>
      <c r="FS33">
        <v>0</v>
      </c>
      <c r="FT33" t="s">
        <v>33</v>
      </c>
      <c r="FU33" t="s">
        <v>22</v>
      </c>
      <c r="FX33">
        <v>108</v>
      </c>
      <c r="FY33">
        <v>55.25</v>
      </c>
      <c r="GF33">
        <v>-708563892</v>
      </c>
      <c r="GG33">
        <v>2</v>
      </c>
      <c r="GH33">
        <v>0</v>
      </c>
      <c r="GI33">
        <v>-2</v>
      </c>
      <c r="GJ33">
        <v>0</v>
      </c>
      <c r="GK33">
        <f>ROUND(R33*(R12)/100,0)</f>
        <v>0</v>
      </c>
      <c r="GL33">
        <f t="shared" si="37"/>
        <v>0</v>
      </c>
      <c r="GM33">
        <f t="shared" si="38"/>
        <v>1663402</v>
      </c>
      <c r="GN33">
        <f t="shared" si="39"/>
        <v>1663402</v>
      </c>
      <c r="GO33">
        <f t="shared" si="40"/>
        <v>0</v>
      </c>
      <c r="GP33">
        <f t="shared" si="41"/>
        <v>0</v>
      </c>
      <c r="GR33">
        <v>0</v>
      </c>
    </row>
    <row r="34" spans="1:200" ht="12.75">
      <c r="A34">
        <v>17</v>
      </c>
      <c r="B34">
        <v>1</v>
      </c>
      <c r="C34">
        <f>ROW(SmtRes!A107)</f>
        <v>107</v>
      </c>
      <c r="D34">
        <f>ROW(EtalonRes!A125)</f>
        <v>125</v>
      </c>
      <c r="E34" t="s">
        <v>87</v>
      </c>
      <c r="F34" t="s">
        <v>88</v>
      </c>
      <c r="G34" t="s">
        <v>89</v>
      </c>
      <c r="H34" t="s">
        <v>90</v>
      </c>
      <c r="I34">
        <v>1.806</v>
      </c>
      <c r="J34">
        <v>0</v>
      </c>
      <c r="O34">
        <f t="shared" si="10"/>
        <v>49414</v>
      </c>
      <c r="P34">
        <f t="shared" si="11"/>
        <v>27300</v>
      </c>
      <c r="Q34">
        <f t="shared" si="12"/>
        <v>117</v>
      </c>
      <c r="R34">
        <f t="shared" si="13"/>
        <v>0</v>
      </c>
      <c r="S34">
        <f t="shared" si="14"/>
        <v>21997</v>
      </c>
      <c r="T34">
        <f t="shared" si="15"/>
        <v>0</v>
      </c>
      <c r="U34">
        <f t="shared" si="16"/>
        <v>182.83944</v>
      </c>
      <c r="V34">
        <f t="shared" si="17"/>
        <v>0.4515</v>
      </c>
      <c r="W34">
        <f t="shared" si="18"/>
        <v>0</v>
      </c>
      <c r="X34">
        <f t="shared" si="19"/>
        <v>18258</v>
      </c>
      <c r="Y34">
        <f t="shared" si="20"/>
        <v>14298</v>
      </c>
      <c r="AA34">
        <v>27243028</v>
      </c>
      <c r="AB34">
        <f t="shared" si="21"/>
        <v>27361.45</v>
      </c>
      <c r="AC34">
        <f>ROUND((SUM(SmtRes!BQ102:SmtRes!BQ107)),2)</f>
        <v>15116.53</v>
      </c>
      <c r="AD34">
        <f>ROUND((SUM(SmtRes!BR102:SmtRes!BR107)),2)</f>
        <v>64.74</v>
      </c>
      <c r="AE34">
        <f t="shared" si="22"/>
        <v>0</v>
      </c>
      <c r="AF34">
        <f>ROUND((SUM(SmtRes!BT102:SmtRes!BT107)),2)</f>
        <v>12180.18</v>
      </c>
      <c r="AG34">
        <f t="shared" si="23"/>
        <v>0</v>
      </c>
      <c r="AH34">
        <f>(SUM(SmtRes!BU102:SmtRes!BU107))</f>
        <v>101.24</v>
      </c>
      <c r="AI34">
        <f>(SUM(SmtRes!BV102:SmtRes!BV107))</f>
        <v>0.25</v>
      </c>
      <c r="AJ34">
        <f t="shared" si="24"/>
        <v>0</v>
      </c>
      <c r="AK34">
        <v>27361.4538</v>
      </c>
      <c r="AL34">
        <v>15116.534399999999</v>
      </c>
      <c r="AM34">
        <v>64.735</v>
      </c>
      <c r="AN34">
        <v>0</v>
      </c>
      <c r="AO34">
        <v>12180.1844</v>
      </c>
      <c r="AP34">
        <v>0</v>
      </c>
      <c r="AQ34">
        <v>101.24</v>
      </c>
      <c r="AR34">
        <v>0.25</v>
      </c>
      <c r="AS34">
        <v>0</v>
      </c>
      <c r="AT34">
        <v>83</v>
      </c>
      <c r="AU34">
        <v>65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91</v>
      </c>
      <c r="BM34">
        <v>58001</v>
      </c>
      <c r="BN34">
        <v>0</v>
      </c>
      <c r="BP34">
        <v>0</v>
      </c>
      <c r="BQ34">
        <v>6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83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5"/>
        <v>49414</v>
      </c>
      <c r="CQ34">
        <f t="shared" si="26"/>
        <v>15116.53</v>
      </c>
      <c r="CR34">
        <f t="shared" si="27"/>
        <v>64.74</v>
      </c>
      <c r="CS34">
        <f t="shared" si="28"/>
        <v>0</v>
      </c>
      <c r="CT34">
        <f t="shared" si="29"/>
        <v>12180.18</v>
      </c>
      <c r="CU34">
        <f t="shared" si="30"/>
        <v>0</v>
      </c>
      <c r="CV34">
        <f t="shared" si="31"/>
        <v>101.24</v>
      </c>
      <c r="CW34">
        <f t="shared" si="32"/>
        <v>0.25</v>
      </c>
      <c r="CX34">
        <f t="shared" si="33"/>
        <v>0</v>
      </c>
      <c r="CY34">
        <f t="shared" si="34"/>
        <v>18257.51</v>
      </c>
      <c r="CZ34">
        <f t="shared" si="35"/>
        <v>14298.050000000001</v>
      </c>
      <c r="DL34" t="s">
        <v>92</v>
      </c>
      <c r="DM34" t="s">
        <v>93</v>
      </c>
      <c r="DN34">
        <v>0</v>
      </c>
      <c r="DO34">
        <v>0</v>
      </c>
      <c r="DP34">
        <v>1</v>
      </c>
      <c r="DQ34">
        <v>1</v>
      </c>
      <c r="DU34">
        <v>1003</v>
      </c>
      <c r="DV34" t="s">
        <v>90</v>
      </c>
      <c r="DW34" t="s">
        <v>90</v>
      </c>
      <c r="DX34">
        <v>100</v>
      </c>
      <c r="EE34">
        <v>25701127</v>
      </c>
      <c r="EF34">
        <v>6</v>
      </c>
      <c r="EG34" t="s">
        <v>94</v>
      </c>
      <c r="EH34">
        <v>0</v>
      </c>
      <c r="EJ34">
        <v>1</v>
      </c>
      <c r="EK34">
        <v>58001</v>
      </c>
      <c r="EL34" t="s">
        <v>95</v>
      </c>
      <c r="EM34" t="s">
        <v>96</v>
      </c>
      <c r="EQ34">
        <v>131072</v>
      </c>
      <c r="ER34">
        <v>6059.09</v>
      </c>
      <c r="ES34">
        <v>5345.86</v>
      </c>
      <c r="ET34">
        <v>16.7</v>
      </c>
      <c r="EU34">
        <v>2.46</v>
      </c>
      <c r="EV34">
        <v>696.53</v>
      </c>
      <c r="EW34">
        <v>101.24</v>
      </c>
      <c r="EX34">
        <v>0.25</v>
      </c>
      <c r="EY34">
        <v>0</v>
      </c>
      <c r="FQ34">
        <v>0</v>
      </c>
      <c r="FR34">
        <f t="shared" si="36"/>
        <v>0</v>
      </c>
      <c r="FS34">
        <v>0</v>
      </c>
      <c r="FX34">
        <v>83</v>
      </c>
      <c r="FY34">
        <v>65</v>
      </c>
      <c r="GF34">
        <v>-1509090373</v>
      </c>
      <c r="GG34">
        <v>2</v>
      </c>
      <c r="GH34">
        <v>0</v>
      </c>
      <c r="GI34">
        <v>-2</v>
      </c>
      <c r="GJ34">
        <v>0</v>
      </c>
      <c r="GK34">
        <f>ROUND(R34*(R12)/100,0)</f>
        <v>0</v>
      </c>
      <c r="GL34">
        <f t="shared" si="37"/>
        <v>0</v>
      </c>
      <c r="GM34">
        <f t="shared" si="38"/>
        <v>81970</v>
      </c>
      <c r="GN34">
        <f t="shared" si="39"/>
        <v>81970</v>
      </c>
      <c r="GO34">
        <f t="shared" si="40"/>
        <v>0</v>
      </c>
      <c r="GP34">
        <f t="shared" si="41"/>
        <v>0</v>
      </c>
      <c r="GR34">
        <v>0</v>
      </c>
    </row>
    <row r="35" spans="1:200" ht="12.75">
      <c r="A35">
        <v>17</v>
      </c>
      <c r="B35">
        <v>1</v>
      </c>
      <c r="C35">
        <f>ROW(SmtRes!A108)</f>
        <v>108</v>
      </c>
      <c r="E35" t="s">
        <v>97</v>
      </c>
      <c r="F35" t="s">
        <v>98</v>
      </c>
      <c r="G35" t="s">
        <v>99</v>
      </c>
      <c r="H35" t="s">
        <v>100</v>
      </c>
      <c r="I35">
        <v>17</v>
      </c>
      <c r="J35">
        <v>0</v>
      </c>
      <c r="O35">
        <f t="shared" si="10"/>
        <v>3029</v>
      </c>
      <c r="P35">
        <f t="shared" si="11"/>
        <v>0</v>
      </c>
      <c r="Q35">
        <f t="shared" si="12"/>
        <v>3029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0</v>
      </c>
      <c r="V35">
        <f t="shared" si="17"/>
        <v>0</v>
      </c>
      <c r="W35">
        <f t="shared" si="18"/>
        <v>0</v>
      </c>
      <c r="X35">
        <f t="shared" si="19"/>
        <v>0</v>
      </c>
      <c r="Y35">
        <f t="shared" si="20"/>
        <v>0</v>
      </c>
      <c r="AA35">
        <v>27243028</v>
      </c>
      <c r="AB35">
        <f t="shared" si="21"/>
        <v>178.15</v>
      </c>
      <c r="AC35">
        <f>ROUND((0),2)</f>
        <v>0</v>
      </c>
      <c r="AD35">
        <f>ROUND((SUM(SmtRes!BR108:SmtRes!BR108)),2)</f>
        <v>178.15</v>
      </c>
      <c r="AE35">
        <f t="shared" si="22"/>
        <v>0</v>
      </c>
      <c r="AF35">
        <f>ROUND((0),2)</f>
        <v>0</v>
      </c>
      <c r="AG35">
        <f t="shared" si="23"/>
        <v>0</v>
      </c>
      <c r="AH35">
        <f>(0)</f>
        <v>0</v>
      </c>
      <c r="AI35">
        <f>(0)</f>
        <v>0</v>
      </c>
      <c r="AJ35">
        <f t="shared" si="24"/>
        <v>0</v>
      </c>
      <c r="AK35">
        <v>178.15248</v>
      </c>
      <c r="AL35">
        <v>0</v>
      </c>
      <c r="AM35">
        <v>178.15248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101</v>
      </c>
      <c r="BM35">
        <v>1203</v>
      </c>
      <c r="BN35">
        <v>0</v>
      </c>
      <c r="BP35">
        <v>0</v>
      </c>
      <c r="BQ35">
        <v>10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CP35">
        <f t="shared" si="25"/>
        <v>3029</v>
      </c>
      <c r="CQ35">
        <f t="shared" si="26"/>
        <v>0</v>
      </c>
      <c r="CR35">
        <f t="shared" si="27"/>
        <v>178.15</v>
      </c>
      <c r="CS35">
        <f t="shared" si="28"/>
        <v>0</v>
      </c>
      <c r="CT35">
        <f t="shared" si="29"/>
        <v>0</v>
      </c>
      <c r="CU35">
        <f t="shared" si="30"/>
        <v>0</v>
      </c>
      <c r="CV35">
        <f t="shared" si="31"/>
        <v>0</v>
      </c>
      <c r="CW35">
        <f t="shared" si="32"/>
        <v>0</v>
      </c>
      <c r="CX35">
        <f t="shared" si="33"/>
        <v>0</v>
      </c>
      <c r="CY35">
        <f>((S35+R35)*(ROUND(FX35,IF(0,0,2))/100))</f>
        <v>0</v>
      </c>
      <c r="CZ35">
        <f>((S35+R35)*(ROUND((FY35*1),IF(0,0,2))/100))</f>
        <v>0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100</v>
      </c>
      <c r="DW35" t="s">
        <v>100</v>
      </c>
      <c r="DX35">
        <v>1000</v>
      </c>
      <c r="EE35">
        <v>25701030</v>
      </c>
      <c r="EF35">
        <v>10</v>
      </c>
      <c r="EG35" t="s">
        <v>102</v>
      </c>
      <c r="EH35">
        <v>0</v>
      </c>
      <c r="EJ35">
        <v>1</v>
      </c>
      <c r="EK35">
        <v>1203</v>
      </c>
      <c r="EL35" t="s">
        <v>103</v>
      </c>
      <c r="EM35" t="s">
        <v>104</v>
      </c>
      <c r="EQ35">
        <v>131072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FQ35">
        <v>0</v>
      </c>
      <c r="FR35">
        <f t="shared" si="36"/>
        <v>0</v>
      </c>
      <c r="FS35">
        <v>0</v>
      </c>
      <c r="FX35">
        <v>0</v>
      </c>
      <c r="FY35">
        <v>0</v>
      </c>
      <c r="GF35">
        <v>-477423169</v>
      </c>
      <c r="GG35">
        <v>2</v>
      </c>
      <c r="GH35">
        <v>0</v>
      </c>
      <c r="GI35">
        <v>-2</v>
      </c>
      <c r="GJ35">
        <v>0</v>
      </c>
      <c r="GK35">
        <f>ROUND(R35*(R12)/100,0)</f>
        <v>0</v>
      </c>
      <c r="GL35">
        <f t="shared" si="37"/>
        <v>0</v>
      </c>
      <c r="GM35">
        <f t="shared" si="38"/>
        <v>3029</v>
      </c>
      <c r="GN35">
        <f t="shared" si="39"/>
        <v>3029</v>
      </c>
      <c r="GO35">
        <f t="shared" si="40"/>
        <v>0</v>
      </c>
      <c r="GP35">
        <f t="shared" si="41"/>
        <v>0</v>
      </c>
      <c r="GR35">
        <v>0</v>
      </c>
    </row>
    <row r="36" spans="1:200" ht="12.75">
      <c r="A36">
        <v>17</v>
      </c>
      <c r="B36">
        <v>1</v>
      </c>
      <c r="C36">
        <f>ROW(SmtRes!A110)</f>
        <v>110</v>
      </c>
      <c r="D36">
        <f>ROW(EtalonRes!A127)</f>
        <v>127</v>
      </c>
      <c r="E36" t="s">
        <v>105</v>
      </c>
      <c r="F36" t="s">
        <v>106</v>
      </c>
      <c r="G36" t="s">
        <v>107</v>
      </c>
      <c r="H36" t="s">
        <v>100</v>
      </c>
      <c r="I36">
        <v>17</v>
      </c>
      <c r="J36">
        <v>0</v>
      </c>
      <c r="O36">
        <f t="shared" si="10"/>
        <v>289</v>
      </c>
      <c r="P36">
        <f t="shared" si="11"/>
        <v>0</v>
      </c>
      <c r="Q36">
        <f t="shared" si="12"/>
        <v>289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0.40800000000000003</v>
      </c>
      <c r="W36">
        <f t="shared" si="18"/>
        <v>0</v>
      </c>
      <c r="X36">
        <f t="shared" si="19"/>
        <v>0</v>
      </c>
      <c r="Y36">
        <f t="shared" si="20"/>
        <v>0</v>
      </c>
      <c r="AA36">
        <v>27243028</v>
      </c>
      <c r="AB36">
        <f t="shared" si="21"/>
        <v>16.99</v>
      </c>
      <c r="AC36">
        <f>ROUND((0),2)</f>
        <v>0</v>
      </c>
      <c r="AD36">
        <f>ROUND((SUM(SmtRes!BR109:SmtRes!BR110)),2)</f>
        <v>16.99</v>
      </c>
      <c r="AE36">
        <f t="shared" si="22"/>
        <v>0</v>
      </c>
      <c r="AF36">
        <f>ROUND((0),2)</f>
        <v>0</v>
      </c>
      <c r="AG36">
        <f t="shared" si="23"/>
        <v>0</v>
      </c>
      <c r="AH36">
        <f>(0)</f>
        <v>0</v>
      </c>
      <c r="AI36">
        <f>(SUM(SmtRes!BV109:SmtRes!BV110))</f>
        <v>0.024</v>
      </c>
      <c r="AJ36">
        <f t="shared" si="24"/>
        <v>0</v>
      </c>
      <c r="AK36">
        <v>16.98672</v>
      </c>
      <c r="AL36">
        <v>0</v>
      </c>
      <c r="AM36">
        <v>16.98672</v>
      </c>
      <c r="AN36">
        <v>0</v>
      </c>
      <c r="AO36">
        <v>0</v>
      </c>
      <c r="AP36">
        <v>0</v>
      </c>
      <c r="AQ36">
        <v>0</v>
      </c>
      <c r="AR36">
        <v>0.024</v>
      </c>
      <c r="AS36">
        <v>0</v>
      </c>
      <c r="AT36">
        <v>85</v>
      </c>
      <c r="AU36">
        <v>48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108</v>
      </c>
      <c r="BM36">
        <v>1201</v>
      </c>
      <c r="BN36">
        <v>0</v>
      </c>
      <c r="BP36">
        <v>0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100</v>
      </c>
      <c r="CA36">
        <v>60</v>
      </c>
      <c r="CF36">
        <v>0</v>
      </c>
      <c r="CG36">
        <v>0</v>
      </c>
      <c r="CM36">
        <v>0</v>
      </c>
      <c r="CO36">
        <v>0</v>
      </c>
      <c r="CP36">
        <f t="shared" si="25"/>
        <v>289</v>
      </c>
      <c r="CQ36">
        <f t="shared" si="26"/>
        <v>0</v>
      </c>
      <c r="CR36">
        <f t="shared" si="27"/>
        <v>16.99</v>
      </c>
      <c r="CS36">
        <f t="shared" si="28"/>
        <v>0</v>
      </c>
      <c r="CT36">
        <f t="shared" si="29"/>
        <v>0</v>
      </c>
      <c r="CU36">
        <f t="shared" si="30"/>
        <v>0</v>
      </c>
      <c r="CV36">
        <f t="shared" si="31"/>
        <v>0</v>
      </c>
      <c r="CW36">
        <f t="shared" si="32"/>
        <v>0.024</v>
      </c>
      <c r="CX36">
        <f t="shared" si="33"/>
        <v>0</v>
      </c>
      <c r="CY36">
        <f>((S36+R36)*(ROUND(FX36,IF(0,0,2))/100))</f>
        <v>0</v>
      </c>
      <c r="CZ36">
        <f>((S36+R36)*(ROUND((FY36*1),IF(0,0,2))/100))</f>
        <v>0</v>
      </c>
      <c r="DL36" t="s">
        <v>109</v>
      </c>
      <c r="DM36" t="s">
        <v>110</v>
      </c>
      <c r="DN36">
        <v>0</v>
      </c>
      <c r="DO36">
        <v>0</v>
      </c>
      <c r="DP36">
        <v>1</v>
      </c>
      <c r="DQ36">
        <v>1</v>
      </c>
      <c r="DU36">
        <v>1009</v>
      </c>
      <c r="DV36" t="s">
        <v>100</v>
      </c>
      <c r="DW36" t="s">
        <v>100</v>
      </c>
      <c r="DX36">
        <v>1000</v>
      </c>
      <c r="EE36">
        <v>25701027</v>
      </c>
      <c r="EF36">
        <v>2</v>
      </c>
      <c r="EG36" t="s">
        <v>19</v>
      </c>
      <c r="EH36">
        <v>0</v>
      </c>
      <c r="EJ36">
        <v>1</v>
      </c>
      <c r="EK36">
        <v>1201</v>
      </c>
      <c r="EL36" t="s">
        <v>111</v>
      </c>
      <c r="EM36" t="s">
        <v>112</v>
      </c>
      <c r="EQ36">
        <v>131072</v>
      </c>
      <c r="ER36">
        <v>3.02</v>
      </c>
      <c r="ES36">
        <v>0</v>
      </c>
      <c r="ET36">
        <v>3.02</v>
      </c>
      <c r="EU36">
        <v>0.32</v>
      </c>
      <c r="EV36">
        <v>0</v>
      </c>
      <c r="EW36">
        <v>0</v>
      </c>
      <c r="EX36">
        <v>0.024</v>
      </c>
      <c r="EY36">
        <v>0</v>
      </c>
      <c r="FQ36">
        <v>0</v>
      </c>
      <c r="FR36">
        <f t="shared" si="36"/>
        <v>0</v>
      </c>
      <c r="FS36">
        <v>0</v>
      </c>
      <c r="FX36">
        <v>85</v>
      </c>
      <c r="FY36">
        <v>48</v>
      </c>
      <c r="GF36">
        <v>-1582404745</v>
      </c>
      <c r="GG36">
        <v>2</v>
      </c>
      <c r="GH36">
        <v>0</v>
      </c>
      <c r="GI36">
        <v>-2</v>
      </c>
      <c r="GJ36">
        <v>0</v>
      </c>
      <c r="GK36">
        <f>ROUND(R36*(R12)/100,0)</f>
        <v>0</v>
      </c>
      <c r="GL36">
        <f t="shared" si="37"/>
        <v>0</v>
      </c>
      <c r="GM36">
        <f t="shared" si="38"/>
        <v>289</v>
      </c>
      <c r="GN36">
        <f t="shared" si="39"/>
        <v>289</v>
      </c>
      <c r="GO36">
        <f t="shared" si="40"/>
        <v>0</v>
      </c>
      <c r="GP36">
        <f t="shared" si="41"/>
        <v>0</v>
      </c>
      <c r="GR36">
        <v>0</v>
      </c>
    </row>
    <row r="38" spans="1:118" ht="12.75">
      <c r="A38" s="2">
        <v>51</v>
      </c>
      <c r="B38" s="2">
        <f>B20</f>
        <v>1</v>
      </c>
      <c r="C38" s="2">
        <f>A20</f>
        <v>3</v>
      </c>
      <c r="D38" s="2">
        <f>ROW(A20)</f>
        <v>20</v>
      </c>
      <c r="E38" s="2"/>
      <c r="F38" s="2" t="str">
        <f>IF(F20&lt;&gt;"",F20,"")</f>
        <v>Ремонт кровли фонаря в осях (3-12)(Д-Е); (И-К)</v>
      </c>
      <c r="G38" s="2" t="str">
        <f>IF(G20&lt;&gt;"",G20,"")</f>
        <v>Ремонт кровли фонаря в осях (3-12)(Д-Е); (И-К)</v>
      </c>
      <c r="H38" s="2"/>
      <c r="I38" s="2"/>
      <c r="J38" s="2"/>
      <c r="K38" s="2"/>
      <c r="L38" s="2"/>
      <c r="M38" s="2"/>
      <c r="N38" s="2"/>
      <c r="O38" s="2">
        <f aca="true" t="shared" si="42" ref="O38:T38">ROUND(AB38,0)</f>
        <v>1998247</v>
      </c>
      <c r="P38" s="2">
        <f t="shared" si="42"/>
        <v>1785415</v>
      </c>
      <c r="Q38" s="2">
        <f t="shared" si="42"/>
        <v>23325</v>
      </c>
      <c r="R38" s="2">
        <f t="shared" si="42"/>
        <v>0</v>
      </c>
      <c r="S38" s="2">
        <f t="shared" si="42"/>
        <v>189507</v>
      </c>
      <c r="T38" s="2">
        <f t="shared" si="42"/>
        <v>0</v>
      </c>
      <c r="U38" s="2">
        <f>AH38</f>
        <v>1464.0551019999998</v>
      </c>
      <c r="V38" s="2">
        <f>AI38</f>
        <v>14.149399999999996</v>
      </c>
      <c r="W38" s="2">
        <f>ROUND(AJ38,0)</f>
        <v>0</v>
      </c>
      <c r="X38" s="2">
        <f>ROUND(AK38,0)</f>
        <v>196306</v>
      </c>
      <c r="Y38" s="2">
        <f>ROUND(AL38,0)</f>
        <v>111296</v>
      </c>
      <c r="Z38" s="2"/>
      <c r="AA38" s="2"/>
      <c r="AB38" s="2">
        <f>ROUND(SUMIF(AA24:AA36,"=27243028",O24:O36),0)</f>
        <v>1998247</v>
      </c>
      <c r="AC38" s="2">
        <f>ROUND(SUMIF(AA24:AA36,"=27243028",P24:P36),0)</f>
        <v>1785415</v>
      </c>
      <c r="AD38" s="2">
        <f>ROUND(SUMIF(AA24:AA36,"=27243028",Q24:Q36),0)</f>
        <v>23325</v>
      </c>
      <c r="AE38" s="2">
        <f>ROUND(SUMIF(AA24:AA36,"=27243028",R24:R36),0)</f>
        <v>0</v>
      </c>
      <c r="AF38" s="2">
        <f>ROUND(SUMIF(AA24:AA36,"=27243028",S24:S36),0)</f>
        <v>189507</v>
      </c>
      <c r="AG38" s="2">
        <f>ROUND(SUMIF(AA24:AA36,"=27243028",T24:T36),0)</f>
        <v>0</v>
      </c>
      <c r="AH38" s="2">
        <f>SUMIF(AA24:AA36,"=27243028",U24:U36)</f>
        <v>1464.0551019999998</v>
      </c>
      <c r="AI38" s="2">
        <f>SUMIF(AA24:AA36,"=27243028",V24:V36)</f>
        <v>14.149399999999996</v>
      </c>
      <c r="AJ38" s="2">
        <f>ROUND(SUMIF(AA24:AA36,"=27243028",W24:W36),0)</f>
        <v>0</v>
      </c>
      <c r="AK38" s="2">
        <f>ROUND(SUMIF(AA24:AA36,"=27243028",X24:X36),0)</f>
        <v>196306</v>
      </c>
      <c r="AL38" s="2">
        <f>ROUND(SUMIF(AA24:AA36,"=27243028",Y24:Y36),0)</f>
        <v>111296</v>
      </c>
      <c r="AM38" s="2"/>
      <c r="AN38" s="2"/>
      <c r="AO38" s="2">
        <f aca="true" t="shared" si="43" ref="AO38:AZ38">ROUND(BB38,0)</f>
        <v>0</v>
      </c>
      <c r="AP38" s="2">
        <f t="shared" si="43"/>
        <v>0</v>
      </c>
      <c r="AQ38" s="2">
        <f t="shared" si="43"/>
        <v>0</v>
      </c>
      <c r="AR38" s="2">
        <f t="shared" si="43"/>
        <v>2305849</v>
      </c>
      <c r="AS38" s="2">
        <f t="shared" si="43"/>
        <v>2305849</v>
      </c>
      <c r="AT38" s="2">
        <f t="shared" si="43"/>
        <v>0</v>
      </c>
      <c r="AU38" s="2">
        <f t="shared" si="43"/>
        <v>0</v>
      </c>
      <c r="AV38" s="2">
        <f t="shared" si="43"/>
        <v>1785415</v>
      </c>
      <c r="AW38" s="2">
        <f t="shared" si="43"/>
        <v>1785415</v>
      </c>
      <c r="AX38" s="2">
        <f t="shared" si="43"/>
        <v>0</v>
      </c>
      <c r="AY38" s="2">
        <f t="shared" si="43"/>
        <v>1785415</v>
      </c>
      <c r="AZ38" s="2">
        <f t="shared" si="43"/>
        <v>0</v>
      </c>
      <c r="BA38" s="2"/>
      <c r="BB38" s="2">
        <f>ROUND(SUMIF(AA24:AA36,"=27243028",FQ24:FQ36),0)</f>
        <v>0</v>
      </c>
      <c r="BC38" s="2">
        <f>ROUND(SUMIF(AA24:AA36,"=27243028",FR24:FR36),0)</f>
        <v>0</v>
      </c>
      <c r="BD38" s="2">
        <f>ROUND(SUMIF(AA24:AA36,"=27243028",GL24:GL36),0)</f>
        <v>0</v>
      </c>
      <c r="BE38" s="2">
        <f>ROUND(SUMIF(AA24:AA36,"=27243028",GM24:GM36),0)</f>
        <v>2305849</v>
      </c>
      <c r="BF38" s="2">
        <f>ROUND(SUMIF(AA24:AA36,"=27243028",GN24:GN36),0)</f>
        <v>2305849</v>
      </c>
      <c r="BG38" s="2">
        <f>ROUND(SUMIF(AA24:AA36,"=27243028",GO24:GO36),0)</f>
        <v>0</v>
      </c>
      <c r="BH38" s="2">
        <f>ROUND(SUMIF(AA24:AA36,"=27243028",GP24:GP36),0)</f>
        <v>0</v>
      </c>
      <c r="BI38" s="2">
        <f>AC38-BB38</f>
        <v>1785415</v>
      </c>
      <c r="BJ38" s="2">
        <f>AC38-BC38</f>
        <v>1785415</v>
      </c>
      <c r="BK38" s="2">
        <f>BB38-BD38</f>
        <v>0</v>
      </c>
      <c r="BL38" s="2">
        <f>AC38-BB38-BC38+BD38</f>
        <v>1785415</v>
      </c>
      <c r="BM38" s="2">
        <f>BC38-BD38</f>
        <v>0</v>
      </c>
      <c r="BN38" s="2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>
        <v>0</v>
      </c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201</v>
      </c>
      <c r="F40" s="4">
        <f>ROUND(Source!O38,O40)</f>
        <v>1998247</v>
      </c>
      <c r="G40" s="4" t="s">
        <v>113</v>
      </c>
      <c r="H40" s="4" t="s">
        <v>114</v>
      </c>
      <c r="I40" s="4"/>
      <c r="J40" s="4"/>
      <c r="K40" s="4">
        <v>201</v>
      </c>
      <c r="L40" s="4">
        <v>1</v>
      </c>
      <c r="M40" s="4">
        <v>3</v>
      </c>
      <c r="N40" s="4" t="s">
        <v>3</v>
      </c>
      <c r="O40" s="4">
        <v>0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202</v>
      </c>
      <c r="F41" s="4">
        <f>ROUND(Source!P38,O41)</f>
        <v>1785415</v>
      </c>
      <c r="G41" s="4" t="s">
        <v>115</v>
      </c>
      <c r="H41" s="4" t="s">
        <v>116</v>
      </c>
      <c r="I41" s="4"/>
      <c r="J41" s="4"/>
      <c r="K41" s="4">
        <v>202</v>
      </c>
      <c r="L41" s="4">
        <v>2</v>
      </c>
      <c r="M41" s="4">
        <v>3</v>
      </c>
      <c r="N41" s="4" t="s">
        <v>3</v>
      </c>
      <c r="O41" s="4">
        <v>0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222</v>
      </c>
      <c r="F42" s="4">
        <f>ROUND(Source!AO38,O42)</f>
        <v>0</v>
      </c>
      <c r="G42" s="4" t="s">
        <v>117</v>
      </c>
      <c r="H42" s="4" t="s">
        <v>118</v>
      </c>
      <c r="I42" s="4"/>
      <c r="J42" s="4"/>
      <c r="K42" s="4">
        <v>222</v>
      </c>
      <c r="L42" s="4">
        <v>3</v>
      </c>
      <c r="M42" s="4">
        <v>3</v>
      </c>
      <c r="N42" s="4" t="s">
        <v>3</v>
      </c>
      <c r="O42" s="4">
        <v>0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225</v>
      </c>
      <c r="F43" s="4">
        <f>ROUND(Source!AV38,O43)</f>
        <v>1785415</v>
      </c>
      <c r="G43" s="4" t="s">
        <v>119</v>
      </c>
      <c r="H43" s="4" t="s">
        <v>120</v>
      </c>
      <c r="I43" s="4"/>
      <c r="J43" s="4"/>
      <c r="K43" s="4">
        <v>225</v>
      </c>
      <c r="L43" s="4">
        <v>4</v>
      </c>
      <c r="M43" s="4">
        <v>3</v>
      </c>
      <c r="N43" s="4" t="s">
        <v>3</v>
      </c>
      <c r="O43" s="4">
        <v>0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226</v>
      </c>
      <c r="F44" s="4">
        <f>ROUND(Source!AW38,O44)</f>
        <v>1785415</v>
      </c>
      <c r="G44" s="4" t="s">
        <v>121</v>
      </c>
      <c r="H44" s="4" t="s">
        <v>122</v>
      </c>
      <c r="I44" s="4"/>
      <c r="J44" s="4"/>
      <c r="K44" s="4">
        <v>226</v>
      </c>
      <c r="L44" s="4">
        <v>5</v>
      </c>
      <c r="M44" s="4">
        <v>3</v>
      </c>
      <c r="N44" s="4" t="s">
        <v>3</v>
      </c>
      <c r="O44" s="4">
        <v>0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227</v>
      </c>
      <c r="F45" s="4">
        <f>ROUND(Source!AX38,O45)</f>
        <v>0</v>
      </c>
      <c r="G45" s="4" t="s">
        <v>123</v>
      </c>
      <c r="H45" s="4" t="s">
        <v>124</v>
      </c>
      <c r="I45" s="4"/>
      <c r="J45" s="4"/>
      <c r="K45" s="4">
        <v>227</v>
      </c>
      <c r="L45" s="4">
        <v>6</v>
      </c>
      <c r="M45" s="4">
        <v>3</v>
      </c>
      <c r="N45" s="4" t="s">
        <v>3</v>
      </c>
      <c r="O45" s="4">
        <v>0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228</v>
      </c>
      <c r="F46" s="4">
        <f>ROUND(Source!AY38,O46)</f>
        <v>1785415</v>
      </c>
      <c r="G46" s="4" t="s">
        <v>125</v>
      </c>
      <c r="H46" s="4" t="s">
        <v>126</v>
      </c>
      <c r="I46" s="4"/>
      <c r="J46" s="4"/>
      <c r="K46" s="4">
        <v>228</v>
      </c>
      <c r="L46" s="4">
        <v>7</v>
      </c>
      <c r="M46" s="4">
        <v>3</v>
      </c>
      <c r="N46" s="4" t="s">
        <v>3</v>
      </c>
      <c r="O46" s="4">
        <v>0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216</v>
      </c>
      <c r="F47" s="4">
        <f>ROUND(Source!AP38,O47)</f>
        <v>0</v>
      </c>
      <c r="G47" s="4" t="s">
        <v>127</v>
      </c>
      <c r="H47" s="4" t="s">
        <v>128</v>
      </c>
      <c r="I47" s="4"/>
      <c r="J47" s="4"/>
      <c r="K47" s="4">
        <v>216</v>
      </c>
      <c r="L47" s="4">
        <v>8</v>
      </c>
      <c r="M47" s="4">
        <v>3</v>
      </c>
      <c r="N47" s="4" t="s">
        <v>3</v>
      </c>
      <c r="O47" s="4">
        <v>0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223</v>
      </c>
      <c r="F48" s="4">
        <f>ROUND(Source!AQ38,O48)</f>
        <v>0</v>
      </c>
      <c r="G48" s="4" t="s">
        <v>129</v>
      </c>
      <c r="H48" s="4" t="s">
        <v>130</v>
      </c>
      <c r="I48" s="4"/>
      <c r="J48" s="4"/>
      <c r="K48" s="4">
        <v>223</v>
      </c>
      <c r="L48" s="4">
        <v>9</v>
      </c>
      <c r="M48" s="4">
        <v>3</v>
      </c>
      <c r="N48" s="4" t="s">
        <v>3</v>
      </c>
      <c r="O48" s="4">
        <v>0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229</v>
      </c>
      <c r="F49" s="4">
        <f>ROUND(Source!AZ38,O49)</f>
        <v>0</v>
      </c>
      <c r="G49" s="4" t="s">
        <v>131</v>
      </c>
      <c r="H49" s="4" t="s">
        <v>132</v>
      </c>
      <c r="I49" s="4"/>
      <c r="J49" s="4"/>
      <c r="K49" s="4">
        <v>229</v>
      </c>
      <c r="L49" s="4">
        <v>10</v>
      </c>
      <c r="M49" s="4">
        <v>3</v>
      </c>
      <c r="N49" s="4" t="s">
        <v>3</v>
      </c>
      <c r="O49" s="4">
        <v>0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203</v>
      </c>
      <c r="F50" s="4">
        <f>ROUND(Source!Q38,O50)</f>
        <v>23325</v>
      </c>
      <c r="G50" s="4" t="s">
        <v>133</v>
      </c>
      <c r="H50" s="4" t="s">
        <v>134</v>
      </c>
      <c r="I50" s="4"/>
      <c r="J50" s="4"/>
      <c r="K50" s="4">
        <v>203</v>
      </c>
      <c r="L50" s="4">
        <v>11</v>
      </c>
      <c r="M50" s="4">
        <v>3</v>
      </c>
      <c r="N50" s="4" t="s">
        <v>3</v>
      </c>
      <c r="O50" s="4">
        <v>0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204</v>
      </c>
      <c r="F51" s="4">
        <f>ROUND(Source!R38,O51)</f>
        <v>0</v>
      </c>
      <c r="G51" s="4" t="s">
        <v>135</v>
      </c>
      <c r="H51" s="4" t="s">
        <v>136</v>
      </c>
      <c r="I51" s="4"/>
      <c r="J51" s="4"/>
      <c r="K51" s="4">
        <v>204</v>
      </c>
      <c r="L51" s="4">
        <v>12</v>
      </c>
      <c r="M51" s="4">
        <v>3</v>
      </c>
      <c r="N51" s="4" t="s">
        <v>3</v>
      </c>
      <c r="O51" s="4">
        <v>0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205</v>
      </c>
      <c r="F52" s="4">
        <f>ROUND(Source!S38,O52)</f>
        <v>189507</v>
      </c>
      <c r="G52" s="4" t="s">
        <v>137</v>
      </c>
      <c r="H52" s="4" t="s">
        <v>138</v>
      </c>
      <c r="I52" s="4"/>
      <c r="J52" s="4"/>
      <c r="K52" s="4">
        <v>205</v>
      </c>
      <c r="L52" s="4">
        <v>13</v>
      </c>
      <c r="M52" s="4">
        <v>3</v>
      </c>
      <c r="N52" s="4" t="s">
        <v>3</v>
      </c>
      <c r="O52" s="4">
        <v>0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214</v>
      </c>
      <c r="F53" s="4">
        <f>ROUND(Source!AS38,O53)</f>
        <v>2305849</v>
      </c>
      <c r="G53" s="4" t="s">
        <v>139</v>
      </c>
      <c r="H53" s="4" t="s">
        <v>140</v>
      </c>
      <c r="I53" s="4"/>
      <c r="J53" s="4"/>
      <c r="K53" s="4">
        <v>214</v>
      </c>
      <c r="L53" s="4">
        <v>14</v>
      </c>
      <c r="M53" s="4">
        <v>3</v>
      </c>
      <c r="N53" s="4" t="s">
        <v>3</v>
      </c>
      <c r="O53" s="4">
        <v>0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215</v>
      </c>
      <c r="F54" s="4">
        <f>ROUND(Source!AT38,O54)</f>
        <v>0</v>
      </c>
      <c r="G54" s="4" t="s">
        <v>141</v>
      </c>
      <c r="H54" s="4" t="s">
        <v>142</v>
      </c>
      <c r="I54" s="4"/>
      <c r="J54" s="4"/>
      <c r="K54" s="4">
        <v>215</v>
      </c>
      <c r="L54" s="4">
        <v>15</v>
      </c>
      <c r="M54" s="4">
        <v>3</v>
      </c>
      <c r="N54" s="4" t="s">
        <v>3</v>
      </c>
      <c r="O54" s="4">
        <v>0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217</v>
      </c>
      <c r="F55" s="4">
        <f>ROUND(Source!AU38,O55)</f>
        <v>0</v>
      </c>
      <c r="G55" s="4" t="s">
        <v>143</v>
      </c>
      <c r="H55" s="4" t="s">
        <v>144</v>
      </c>
      <c r="I55" s="4"/>
      <c r="J55" s="4"/>
      <c r="K55" s="4">
        <v>217</v>
      </c>
      <c r="L55" s="4">
        <v>16</v>
      </c>
      <c r="M55" s="4">
        <v>3</v>
      </c>
      <c r="N55" s="4" t="s">
        <v>3</v>
      </c>
      <c r="O55" s="4">
        <v>0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206</v>
      </c>
      <c r="F56" s="4">
        <f>ROUND(Source!T38,O56)</f>
        <v>0</v>
      </c>
      <c r="G56" s="4" t="s">
        <v>145</v>
      </c>
      <c r="H56" s="4" t="s">
        <v>146</v>
      </c>
      <c r="I56" s="4"/>
      <c r="J56" s="4"/>
      <c r="K56" s="4">
        <v>206</v>
      </c>
      <c r="L56" s="4">
        <v>17</v>
      </c>
      <c r="M56" s="4">
        <v>3</v>
      </c>
      <c r="N56" s="4" t="s">
        <v>3</v>
      </c>
      <c r="O56" s="4">
        <v>0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207</v>
      </c>
      <c r="F57" s="4">
        <f>Source!U38</f>
        <v>1464.0551019999998</v>
      </c>
      <c r="G57" s="4" t="s">
        <v>147</v>
      </c>
      <c r="H57" s="4" t="s">
        <v>148</v>
      </c>
      <c r="I57" s="4"/>
      <c r="J57" s="4"/>
      <c r="K57" s="4">
        <v>207</v>
      </c>
      <c r="L57" s="4">
        <v>18</v>
      </c>
      <c r="M57" s="4">
        <v>3</v>
      </c>
      <c r="N57" s="4" t="s">
        <v>3</v>
      </c>
      <c r="O57" s="4">
        <v>-1</v>
      </c>
      <c r="P57" s="4"/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208</v>
      </c>
      <c r="F58" s="4">
        <f>Source!V38</f>
        <v>14.149399999999996</v>
      </c>
      <c r="G58" s="4" t="s">
        <v>149</v>
      </c>
      <c r="H58" s="4" t="s">
        <v>150</v>
      </c>
      <c r="I58" s="4"/>
      <c r="J58" s="4"/>
      <c r="K58" s="4">
        <v>208</v>
      </c>
      <c r="L58" s="4">
        <v>19</v>
      </c>
      <c r="M58" s="4">
        <v>3</v>
      </c>
      <c r="N58" s="4" t="s">
        <v>3</v>
      </c>
      <c r="O58" s="4">
        <v>-1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209</v>
      </c>
      <c r="F59" s="4">
        <f>ROUND(Source!W38,O59)</f>
        <v>0</v>
      </c>
      <c r="G59" s="4" t="s">
        <v>151</v>
      </c>
      <c r="H59" s="4" t="s">
        <v>152</v>
      </c>
      <c r="I59" s="4"/>
      <c r="J59" s="4"/>
      <c r="K59" s="4">
        <v>209</v>
      </c>
      <c r="L59" s="4">
        <v>20</v>
      </c>
      <c r="M59" s="4">
        <v>3</v>
      </c>
      <c r="N59" s="4" t="s">
        <v>3</v>
      </c>
      <c r="O59" s="4">
        <v>0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210</v>
      </c>
      <c r="F60" s="4">
        <f>ROUND(Source!X38,O60)</f>
        <v>196306</v>
      </c>
      <c r="G60" s="4" t="s">
        <v>153</v>
      </c>
      <c r="H60" s="4" t="s">
        <v>154</v>
      </c>
      <c r="I60" s="4"/>
      <c r="J60" s="4"/>
      <c r="K60" s="4">
        <v>210</v>
      </c>
      <c r="L60" s="4">
        <v>21</v>
      </c>
      <c r="M60" s="4">
        <v>3</v>
      </c>
      <c r="N60" s="4" t="s">
        <v>3</v>
      </c>
      <c r="O60" s="4">
        <v>0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211</v>
      </c>
      <c r="F61" s="4">
        <f>ROUND(Source!Y38,O61)</f>
        <v>111296</v>
      </c>
      <c r="G61" s="4" t="s">
        <v>155</v>
      </c>
      <c r="H61" s="4" t="s">
        <v>156</v>
      </c>
      <c r="I61" s="4"/>
      <c r="J61" s="4"/>
      <c r="K61" s="4">
        <v>211</v>
      </c>
      <c r="L61" s="4">
        <v>22</v>
      </c>
      <c r="M61" s="4">
        <v>3</v>
      </c>
      <c r="N61" s="4" t="s">
        <v>3</v>
      </c>
      <c r="O61" s="4">
        <v>0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224</v>
      </c>
      <c r="F62" s="4">
        <f>ROUND(Source!AR38,O62)</f>
        <v>2305849</v>
      </c>
      <c r="G62" s="4" t="s">
        <v>157</v>
      </c>
      <c r="H62" s="4" t="s">
        <v>158</v>
      </c>
      <c r="I62" s="4"/>
      <c r="J62" s="4"/>
      <c r="K62" s="4">
        <v>224</v>
      </c>
      <c r="L62" s="4">
        <v>23</v>
      </c>
      <c r="M62" s="4">
        <v>3</v>
      </c>
      <c r="N62" s="4" t="s">
        <v>3</v>
      </c>
      <c r="O62" s="4">
        <v>0</v>
      </c>
      <c r="P62" s="4"/>
    </row>
    <row r="63" spans="1:16" ht="12.75">
      <c r="A63" s="4">
        <v>50</v>
      </c>
      <c r="B63" s="4">
        <v>1</v>
      </c>
      <c r="C63" s="4">
        <v>0</v>
      </c>
      <c r="D63" s="4">
        <v>2</v>
      </c>
      <c r="E63" s="4">
        <v>0</v>
      </c>
      <c r="F63" s="4">
        <f>ROUND(F50+F52+F60+F61,O63)</f>
        <v>520434</v>
      </c>
      <c r="G63" s="4" t="s">
        <v>159</v>
      </c>
      <c r="H63" s="4" t="s">
        <v>160</v>
      </c>
      <c r="I63" s="4"/>
      <c r="J63" s="4"/>
      <c r="K63" s="4">
        <v>212</v>
      </c>
      <c r="L63" s="4">
        <v>24</v>
      </c>
      <c r="M63" s="4">
        <v>0</v>
      </c>
      <c r="N63" s="4" t="s">
        <v>3</v>
      </c>
      <c r="O63" s="4">
        <v>0</v>
      </c>
      <c r="P63" s="4"/>
    </row>
    <row r="64" spans="1:16" ht="12.75">
      <c r="A64" s="4">
        <v>50</v>
      </c>
      <c r="B64" s="4">
        <v>1</v>
      </c>
      <c r="C64" s="4">
        <v>0</v>
      </c>
      <c r="D64" s="4">
        <v>2</v>
      </c>
      <c r="E64" s="4">
        <v>0</v>
      </c>
      <c r="F64" s="4">
        <f>ROUND(F63*1.15,O64)</f>
        <v>598499</v>
      </c>
      <c r="G64" s="4" t="s">
        <v>161</v>
      </c>
      <c r="H64" s="4" t="s">
        <v>162</v>
      </c>
      <c r="I64" s="4"/>
      <c r="J64" s="4"/>
      <c r="K64" s="4">
        <v>212</v>
      </c>
      <c r="L64" s="4">
        <v>25</v>
      </c>
      <c r="M64" s="4">
        <v>0</v>
      </c>
      <c r="N64" s="4" t="s">
        <v>3</v>
      </c>
      <c r="O64" s="4">
        <v>0</v>
      </c>
      <c r="P64" s="4"/>
    </row>
    <row r="65" spans="1:16" ht="12.75">
      <c r="A65" s="4">
        <v>50</v>
      </c>
      <c r="B65" s="4">
        <v>1</v>
      </c>
      <c r="C65" s="4">
        <v>0</v>
      </c>
      <c r="D65" s="4">
        <v>2</v>
      </c>
      <c r="E65" s="4">
        <v>0</v>
      </c>
      <c r="F65" s="4">
        <f>ROUND(F50*1.15,O65)</f>
        <v>26824</v>
      </c>
      <c r="G65" s="4" t="s">
        <v>163</v>
      </c>
      <c r="H65" s="4" t="s">
        <v>164</v>
      </c>
      <c r="I65" s="4"/>
      <c r="J65" s="4"/>
      <c r="K65" s="4">
        <v>212</v>
      </c>
      <c r="L65" s="4">
        <v>26</v>
      </c>
      <c r="M65" s="4">
        <v>0</v>
      </c>
      <c r="N65" s="4" t="s">
        <v>3</v>
      </c>
      <c r="O65" s="4">
        <v>0</v>
      </c>
      <c r="P65" s="4"/>
    </row>
    <row r="66" spans="1:16" ht="12.75">
      <c r="A66" s="4">
        <v>50</v>
      </c>
      <c r="B66" s="4">
        <v>1</v>
      </c>
      <c r="C66" s="4">
        <v>0</v>
      </c>
      <c r="D66" s="4">
        <v>2</v>
      </c>
      <c r="E66" s="4">
        <v>0</v>
      </c>
      <c r="F66" s="4">
        <f>ROUND(F52*1.15,O66)</f>
        <v>217933</v>
      </c>
      <c r="G66" s="4" t="s">
        <v>165</v>
      </c>
      <c r="H66" s="4" t="s">
        <v>166</v>
      </c>
      <c r="I66" s="4"/>
      <c r="J66" s="4"/>
      <c r="K66" s="4">
        <v>212</v>
      </c>
      <c r="L66" s="4">
        <v>27</v>
      </c>
      <c r="M66" s="4">
        <v>0</v>
      </c>
      <c r="N66" s="4" t="s">
        <v>3</v>
      </c>
      <c r="O66" s="4">
        <v>0</v>
      </c>
      <c r="P66" s="4"/>
    </row>
    <row r="67" spans="1:16" ht="12.75">
      <c r="A67" s="4">
        <v>50</v>
      </c>
      <c r="B67" s="4">
        <v>1</v>
      </c>
      <c r="C67" s="4">
        <v>0</v>
      </c>
      <c r="D67" s="4">
        <v>2</v>
      </c>
      <c r="E67" s="4">
        <v>0</v>
      </c>
      <c r="F67" s="4">
        <f>ROUND(F60*1.15,O67)</f>
        <v>225752</v>
      </c>
      <c r="G67" s="4" t="s">
        <v>167</v>
      </c>
      <c r="H67" s="4" t="s">
        <v>168</v>
      </c>
      <c r="I67" s="4"/>
      <c r="J67" s="4"/>
      <c r="K67" s="4">
        <v>212</v>
      </c>
      <c r="L67" s="4">
        <v>28</v>
      </c>
      <c r="M67" s="4">
        <v>0</v>
      </c>
      <c r="N67" s="4" t="s">
        <v>3</v>
      </c>
      <c r="O67" s="4">
        <v>0</v>
      </c>
      <c r="P67" s="4"/>
    </row>
    <row r="68" spans="1:16" ht="12.75">
      <c r="A68" s="4">
        <v>50</v>
      </c>
      <c r="B68" s="4">
        <v>1</v>
      </c>
      <c r="C68" s="4">
        <v>0</v>
      </c>
      <c r="D68" s="4">
        <v>2</v>
      </c>
      <c r="E68" s="4">
        <v>0</v>
      </c>
      <c r="F68" s="4">
        <f>ROUND(F61*1.15,O68)</f>
        <v>127990</v>
      </c>
      <c r="G68" s="4" t="s">
        <v>169</v>
      </c>
      <c r="H68" s="4" t="s">
        <v>170</v>
      </c>
      <c r="I68" s="4"/>
      <c r="J68" s="4"/>
      <c r="K68" s="4">
        <v>212</v>
      </c>
      <c r="L68" s="4">
        <v>29</v>
      </c>
      <c r="M68" s="4">
        <v>0</v>
      </c>
      <c r="N68" s="4" t="s">
        <v>3</v>
      </c>
      <c r="O68" s="4">
        <v>0</v>
      </c>
      <c r="P68" s="4"/>
    </row>
    <row r="69" spans="1:16" ht="12.75">
      <c r="A69" s="4">
        <v>50</v>
      </c>
      <c r="B69" s="4">
        <v>1</v>
      </c>
      <c r="C69" s="4">
        <v>0</v>
      </c>
      <c r="D69" s="4">
        <v>2</v>
      </c>
      <c r="E69" s="4">
        <v>0</v>
      </c>
      <c r="F69" s="4">
        <f>ROUND(F41*0.07,O69)</f>
        <v>124979</v>
      </c>
      <c r="G69" s="4" t="s">
        <v>171</v>
      </c>
      <c r="H69" s="4" t="s">
        <v>172</v>
      </c>
      <c r="I69" s="4"/>
      <c r="J69" s="4"/>
      <c r="K69" s="4">
        <v>212</v>
      </c>
      <c r="L69" s="4">
        <v>30</v>
      </c>
      <c r="M69" s="4">
        <v>0</v>
      </c>
      <c r="N69" s="4" t="s">
        <v>3</v>
      </c>
      <c r="O69" s="4">
        <v>0</v>
      </c>
      <c r="P69" s="4"/>
    </row>
    <row r="70" spans="1:16" ht="12.75">
      <c r="A70" s="4">
        <v>50</v>
      </c>
      <c r="B70" s="4">
        <v>1</v>
      </c>
      <c r="C70" s="4">
        <v>0</v>
      </c>
      <c r="D70" s="4">
        <v>2</v>
      </c>
      <c r="E70" s="4">
        <v>0</v>
      </c>
      <c r="F70" s="4">
        <f>ROUND(F64+F41+F69,O70)</f>
        <v>2508893</v>
      </c>
      <c r="G70" s="4" t="s">
        <v>173</v>
      </c>
      <c r="H70" s="4" t="s">
        <v>174</v>
      </c>
      <c r="I70" s="4"/>
      <c r="J70" s="4"/>
      <c r="K70" s="4">
        <v>212</v>
      </c>
      <c r="L70" s="4">
        <v>31</v>
      </c>
      <c r="M70" s="4">
        <v>0</v>
      </c>
      <c r="N70" s="4" t="s">
        <v>3</v>
      </c>
      <c r="O70" s="4">
        <v>0</v>
      </c>
      <c r="P70" s="4"/>
    </row>
    <row r="71" spans="1:16" ht="12.75">
      <c r="A71" s="4">
        <v>50</v>
      </c>
      <c r="B71" s="4">
        <v>1</v>
      </c>
      <c r="C71" s="4">
        <v>0</v>
      </c>
      <c r="D71" s="4">
        <v>2</v>
      </c>
      <c r="E71" s="4">
        <v>0</v>
      </c>
      <c r="F71" s="4">
        <f>ROUND(F70*0.18,O71)</f>
        <v>451601</v>
      </c>
      <c r="G71" s="4" t="s">
        <v>175</v>
      </c>
      <c r="H71" s="4" t="s">
        <v>176</v>
      </c>
      <c r="I71" s="4"/>
      <c r="J71" s="4"/>
      <c r="K71" s="4">
        <v>212</v>
      </c>
      <c r="L71" s="4">
        <v>32</v>
      </c>
      <c r="M71" s="4">
        <v>0</v>
      </c>
      <c r="N71" s="4" t="s">
        <v>3</v>
      </c>
      <c r="O71" s="4">
        <v>0</v>
      </c>
      <c r="P71" s="4"/>
    </row>
    <row r="72" spans="1:16" ht="12.75">
      <c r="A72" s="4">
        <v>50</v>
      </c>
      <c r="B72" s="4">
        <v>1</v>
      </c>
      <c r="C72" s="4">
        <v>0</v>
      </c>
      <c r="D72" s="4">
        <v>2</v>
      </c>
      <c r="E72" s="4">
        <v>0</v>
      </c>
      <c r="F72" s="4">
        <f>ROUND(F70+F71,O72)</f>
        <v>2960494</v>
      </c>
      <c r="G72" s="4" t="s">
        <v>177</v>
      </c>
      <c r="H72" s="4" t="s">
        <v>178</v>
      </c>
      <c r="I72" s="4"/>
      <c r="J72" s="4"/>
      <c r="K72" s="4">
        <v>212</v>
      </c>
      <c r="L72" s="4">
        <v>33</v>
      </c>
      <c r="M72" s="4">
        <v>0</v>
      </c>
      <c r="N72" s="4" t="s">
        <v>3</v>
      </c>
      <c r="O72" s="4">
        <v>0</v>
      </c>
      <c r="P72" s="4"/>
    </row>
    <row r="74" spans="1:88" ht="12.75">
      <c r="A74" s="1">
        <v>3</v>
      </c>
      <c r="B74" s="1">
        <v>1</v>
      </c>
      <c r="C74" s="1"/>
      <c r="D74" s="1">
        <f>ROW(A88)</f>
        <v>88</v>
      </c>
      <c r="E74" s="1"/>
      <c r="F74" s="1" t="s">
        <v>179</v>
      </c>
      <c r="G74" s="1" t="s">
        <v>180</v>
      </c>
      <c r="H74" s="1" t="s">
        <v>3</v>
      </c>
      <c r="I74" s="1">
        <v>0</v>
      </c>
      <c r="J74" s="1" t="s">
        <v>3</v>
      </c>
      <c r="K74" s="1">
        <v>-1</v>
      </c>
      <c r="L74" s="1"/>
      <c r="M74" s="1"/>
      <c r="N74" s="1"/>
      <c r="O74" s="1"/>
      <c r="P74" s="1"/>
      <c r="Q74" s="1"/>
      <c r="R74" s="1"/>
      <c r="S74" s="1"/>
      <c r="T74" s="1"/>
      <c r="U74" s="1" t="s">
        <v>3</v>
      </c>
      <c r="V74" s="1">
        <v>0</v>
      </c>
      <c r="W74" s="1"/>
      <c r="X74" s="1"/>
      <c r="Y74" s="1"/>
      <c r="Z74" s="1"/>
      <c r="AA74" s="1"/>
      <c r="AB74" s="1" t="s">
        <v>3</v>
      </c>
      <c r="AC74" s="1" t="s">
        <v>3</v>
      </c>
      <c r="AD74" s="1" t="s">
        <v>3</v>
      </c>
      <c r="AE74" s="1" t="s">
        <v>3</v>
      </c>
      <c r="AF74" s="1" t="s">
        <v>3</v>
      </c>
      <c r="AG74" s="1" t="s">
        <v>3</v>
      </c>
      <c r="AH74" s="1"/>
      <c r="AI74" s="1"/>
      <c r="AJ74" s="1"/>
      <c r="AK74" s="1"/>
      <c r="AL74" s="1"/>
      <c r="AM74" s="1"/>
      <c r="AN74" s="1"/>
      <c r="AO74" s="1"/>
      <c r="AP74" s="1" t="s">
        <v>3</v>
      </c>
      <c r="AQ74" s="1" t="s">
        <v>3</v>
      </c>
      <c r="AR74" s="1" t="s">
        <v>3</v>
      </c>
      <c r="AS74" s="1"/>
      <c r="AT74" s="1"/>
      <c r="AU74" s="1"/>
      <c r="AV74" s="1"/>
      <c r="AW74" s="1"/>
      <c r="AX74" s="1"/>
      <c r="AY74" s="1"/>
      <c r="AZ74" s="1" t="s">
        <v>3</v>
      </c>
      <c r="BA74" s="1"/>
      <c r="BB74" s="1" t="s">
        <v>3</v>
      </c>
      <c r="BC74" s="1" t="s">
        <v>3</v>
      </c>
      <c r="BD74" s="1" t="s">
        <v>3</v>
      </c>
      <c r="BE74" s="1" t="s">
        <v>3</v>
      </c>
      <c r="BF74" s="1" t="s">
        <v>3</v>
      </c>
      <c r="BG74" s="1" t="s">
        <v>3</v>
      </c>
      <c r="BH74" s="1" t="s">
        <v>3</v>
      </c>
      <c r="BI74" s="1" t="s">
        <v>3</v>
      </c>
      <c r="BJ74" s="1" t="s">
        <v>3</v>
      </c>
      <c r="BK74" s="1" t="s">
        <v>3</v>
      </c>
      <c r="BL74" s="1" t="s">
        <v>3</v>
      </c>
      <c r="BM74" s="1" t="s">
        <v>3</v>
      </c>
      <c r="BN74" s="1" t="s">
        <v>3</v>
      </c>
      <c r="BO74" s="1" t="s">
        <v>3</v>
      </c>
      <c r="BP74" s="1" t="s">
        <v>3</v>
      </c>
      <c r="BQ74" s="1"/>
      <c r="BR74" s="1"/>
      <c r="BS74" s="1"/>
      <c r="BT74" s="1"/>
      <c r="BU74" s="1"/>
      <c r="BV74" s="1"/>
      <c r="BW74" s="1"/>
      <c r="BX74" s="1">
        <v>0</v>
      </c>
      <c r="BY74" s="1"/>
      <c r="BZ74" s="1"/>
      <c r="CA74" s="1"/>
      <c r="CB74" s="1"/>
      <c r="CC74" s="1"/>
      <c r="CD74" s="1"/>
      <c r="CE74" s="1"/>
      <c r="CF74" s="1">
        <v>0</v>
      </c>
      <c r="CG74" s="1">
        <v>0</v>
      </c>
      <c r="CH74" s="1"/>
      <c r="CI74" s="1" t="s">
        <v>3</v>
      </c>
      <c r="CJ74" s="1" t="s">
        <v>3</v>
      </c>
    </row>
    <row r="76" spans="1:118" ht="12.75">
      <c r="A76" s="2">
        <v>52</v>
      </c>
      <c r="B76" s="2">
        <f aca="true" t="shared" si="44" ref="B76:G76">B88</f>
        <v>1</v>
      </c>
      <c r="C76" s="2">
        <f t="shared" si="44"/>
        <v>3</v>
      </c>
      <c r="D76" s="2">
        <f t="shared" si="44"/>
        <v>74</v>
      </c>
      <c r="E76" s="2">
        <f t="shared" si="44"/>
        <v>0</v>
      </c>
      <c r="F76" s="2" t="str">
        <f t="shared" si="44"/>
        <v>Ремонт кровли корпуса №20 в осях (1-9) (Г-Ж)</v>
      </c>
      <c r="G76" s="2" t="str">
        <f t="shared" si="44"/>
        <v>Ремонт кровли корпуса №20 в осях  (1-9) (Г-Ж)</v>
      </c>
      <c r="H76" s="2"/>
      <c r="I76" s="2"/>
      <c r="J76" s="2"/>
      <c r="K76" s="2"/>
      <c r="L76" s="2"/>
      <c r="M76" s="2"/>
      <c r="N76" s="2"/>
      <c r="O76" s="2">
        <f aca="true" t="shared" si="45" ref="O76:AT76">O88</f>
        <v>6346406</v>
      </c>
      <c r="P76" s="2">
        <f t="shared" si="45"/>
        <v>6014484</v>
      </c>
      <c r="Q76" s="2">
        <f t="shared" si="45"/>
        <v>15071</v>
      </c>
      <c r="R76" s="2">
        <f t="shared" si="45"/>
        <v>0</v>
      </c>
      <c r="S76" s="2">
        <f t="shared" si="45"/>
        <v>316851</v>
      </c>
      <c r="T76" s="2">
        <f t="shared" si="45"/>
        <v>0</v>
      </c>
      <c r="U76" s="2">
        <f t="shared" si="45"/>
        <v>2434.73828</v>
      </c>
      <c r="V76" s="2">
        <f t="shared" si="45"/>
        <v>4.4639999999999995</v>
      </c>
      <c r="W76" s="2">
        <f t="shared" si="45"/>
        <v>0</v>
      </c>
      <c r="X76" s="2">
        <f t="shared" si="45"/>
        <v>331593</v>
      </c>
      <c r="Y76" s="2">
        <f t="shared" si="45"/>
        <v>179873</v>
      </c>
      <c r="Z76" s="2">
        <f t="shared" si="45"/>
        <v>0</v>
      </c>
      <c r="AA76" s="2">
        <f t="shared" si="45"/>
        <v>0</v>
      </c>
      <c r="AB76" s="2">
        <f t="shared" si="45"/>
        <v>6346406</v>
      </c>
      <c r="AC76" s="2">
        <f t="shared" si="45"/>
        <v>6014484</v>
      </c>
      <c r="AD76" s="2">
        <f t="shared" si="45"/>
        <v>15071</v>
      </c>
      <c r="AE76" s="2">
        <f t="shared" si="45"/>
        <v>0</v>
      </c>
      <c r="AF76" s="2">
        <f t="shared" si="45"/>
        <v>316851</v>
      </c>
      <c r="AG76" s="2">
        <f t="shared" si="45"/>
        <v>0</v>
      </c>
      <c r="AH76" s="2">
        <f t="shared" si="45"/>
        <v>2434.73828</v>
      </c>
      <c r="AI76" s="2">
        <f t="shared" si="45"/>
        <v>4.4639999999999995</v>
      </c>
      <c r="AJ76" s="2">
        <f t="shared" si="45"/>
        <v>0</v>
      </c>
      <c r="AK76" s="2">
        <f t="shared" si="45"/>
        <v>331593</v>
      </c>
      <c r="AL76" s="2">
        <f t="shared" si="45"/>
        <v>179873</v>
      </c>
      <c r="AM76" s="2">
        <f t="shared" si="45"/>
        <v>0</v>
      </c>
      <c r="AN76" s="2">
        <f t="shared" si="45"/>
        <v>0</v>
      </c>
      <c r="AO76" s="2">
        <f t="shared" si="45"/>
        <v>0</v>
      </c>
      <c r="AP76" s="2">
        <f t="shared" si="45"/>
        <v>0</v>
      </c>
      <c r="AQ76" s="2">
        <f t="shared" si="45"/>
        <v>0</v>
      </c>
      <c r="AR76" s="2">
        <f t="shared" si="45"/>
        <v>6857872</v>
      </c>
      <c r="AS76" s="2">
        <f t="shared" si="45"/>
        <v>6857872</v>
      </c>
      <c r="AT76" s="2">
        <f t="shared" si="45"/>
        <v>0</v>
      </c>
      <c r="AU76" s="2">
        <f aca="true" t="shared" si="46" ref="AU76:BZ76">AU88</f>
        <v>0</v>
      </c>
      <c r="AV76" s="2">
        <f t="shared" si="46"/>
        <v>6014484</v>
      </c>
      <c r="AW76" s="2">
        <f t="shared" si="46"/>
        <v>6014484</v>
      </c>
      <c r="AX76" s="2">
        <f t="shared" si="46"/>
        <v>0</v>
      </c>
      <c r="AY76" s="2">
        <f t="shared" si="46"/>
        <v>6014484</v>
      </c>
      <c r="AZ76" s="2">
        <f t="shared" si="46"/>
        <v>0</v>
      </c>
      <c r="BA76" s="2">
        <f t="shared" si="46"/>
        <v>0</v>
      </c>
      <c r="BB76" s="2">
        <f t="shared" si="46"/>
        <v>0</v>
      </c>
      <c r="BC76" s="2">
        <f t="shared" si="46"/>
        <v>0</v>
      </c>
      <c r="BD76" s="2">
        <f t="shared" si="46"/>
        <v>0</v>
      </c>
      <c r="BE76" s="2">
        <f t="shared" si="46"/>
        <v>6857872</v>
      </c>
      <c r="BF76" s="2">
        <f t="shared" si="46"/>
        <v>6857872</v>
      </c>
      <c r="BG76" s="2">
        <f t="shared" si="46"/>
        <v>0</v>
      </c>
      <c r="BH76" s="2">
        <f t="shared" si="46"/>
        <v>0</v>
      </c>
      <c r="BI76" s="2">
        <f t="shared" si="46"/>
        <v>6014484</v>
      </c>
      <c r="BJ76" s="2">
        <f t="shared" si="46"/>
        <v>6014484</v>
      </c>
      <c r="BK76" s="2">
        <f t="shared" si="46"/>
        <v>0</v>
      </c>
      <c r="BL76" s="2">
        <f t="shared" si="46"/>
        <v>6014484</v>
      </c>
      <c r="BM76" s="2">
        <f t="shared" si="46"/>
        <v>0</v>
      </c>
      <c r="BN76" s="2">
        <f t="shared" si="46"/>
        <v>0</v>
      </c>
      <c r="BO76" s="3">
        <f t="shared" si="46"/>
        <v>0</v>
      </c>
      <c r="BP76" s="3">
        <f t="shared" si="46"/>
        <v>0</v>
      </c>
      <c r="BQ76" s="3">
        <f t="shared" si="46"/>
        <v>0</v>
      </c>
      <c r="BR76" s="3">
        <f t="shared" si="46"/>
        <v>0</v>
      </c>
      <c r="BS76" s="3">
        <f t="shared" si="46"/>
        <v>0</v>
      </c>
      <c r="BT76" s="3">
        <f t="shared" si="46"/>
        <v>0</v>
      </c>
      <c r="BU76" s="3">
        <f t="shared" si="46"/>
        <v>0</v>
      </c>
      <c r="BV76" s="3">
        <f t="shared" si="46"/>
        <v>0</v>
      </c>
      <c r="BW76" s="3">
        <f t="shared" si="46"/>
        <v>0</v>
      </c>
      <c r="BX76" s="3">
        <f t="shared" si="46"/>
        <v>0</v>
      </c>
      <c r="BY76" s="3">
        <f t="shared" si="46"/>
        <v>0</v>
      </c>
      <c r="BZ76" s="3">
        <f t="shared" si="46"/>
        <v>0</v>
      </c>
      <c r="CA76" s="3">
        <f aca="true" t="shared" si="47" ref="CA76:DF76">CA88</f>
        <v>0</v>
      </c>
      <c r="CB76" s="3">
        <f t="shared" si="47"/>
        <v>0</v>
      </c>
      <c r="CC76" s="3">
        <f t="shared" si="47"/>
        <v>0</v>
      </c>
      <c r="CD76" s="3">
        <f t="shared" si="47"/>
        <v>0</v>
      </c>
      <c r="CE76" s="3">
        <f t="shared" si="47"/>
        <v>0</v>
      </c>
      <c r="CF76" s="3">
        <f t="shared" si="47"/>
        <v>0</v>
      </c>
      <c r="CG76" s="3">
        <f t="shared" si="47"/>
        <v>0</v>
      </c>
      <c r="CH76" s="3">
        <f t="shared" si="47"/>
        <v>0</v>
      </c>
      <c r="CI76" s="3">
        <f t="shared" si="47"/>
        <v>0</v>
      </c>
      <c r="CJ76" s="3">
        <f t="shared" si="47"/>
        <v>0</v>
      </c>
      <c r="CK76" s="3">
        <f t="shared" si="47"/>
        <v>0</v>
      </c>
      <c r="CL76" s="3">
        <f t="shared" si="47"/>
        <v>0</v>
      </c>
      <c r="CM76" s="3">
        <f t="shared" si="47"/>
        <v>0</v>
      </c>
      <c r="CN76" s="3">
        <f t="shared" si="47"/>
        <v>0</v>
      </c>
      <c r="CO76" s="3">
        <f t="shared" si="47"/>
        <v>0</v>
      </c>
      <c r="CP76" s="3">
        <f t="shared" si="47"/>
        <v>0</v>
      </c>
      <c r="CQ76" s="3">
        <f t="shared" si="47"/>
        <v>0</v>
      </c>
      <c r="CR76" s="3">
        <f t="shared" si="47"/>
        <v>0</v>
      </c>
      <c r="CS76" s="3">
        <f t="shared" si="47"/>
        <v>0</v>
      </c>
      <c r="CT76" s="3">
        <f t="shared" si="47"/>
        <v>0</v>
      </c>
      <c r="CU76" s="3">
        <f t="shared" si="47"/>
        <v>0</v>
      </c>
      <c r="CV76" s="3">
        <f t="shared" si="47"/>
        <v>0</v>
      </c>
      <c r="CW76" s="3">
        <f t="shared" si="47"/>
        <v>0</v>
      </c>
      <c r="CX76" s="3">
        <f t="shared" si="47"/>
        <v>0</v>
      </c>
      <c r="CY76" s="3">
        <f t="shared" si="47"/>
        <v>0</v>
      </c>
      <c r="CZ76" s="3">
        <f t="shared" si="47"/>
        <v>0</v>
      </c>
      <c r="DA76" s="3">
        <f t="shared" si="47"/>
        <v>0</v>
      </c>
      <c r="DB76" s="3">
        <f t="shared" si="47"/>
        <v>0</v>
      </c>
      <c r="DC76" s="3">
        <f t="shared" si="47"/>
        <v>0</v>
      </c>
      <c r="DD76" s="3">
        <f t="shared" si="47"/>
        <v>0</v>
      </c>
      <c r="DE76" s="3">
        <f t="shared" si="47"/>
        <v>0</v>
      </c>
      <c r="DF76" s="3">
        <f t="shared" si="47"/>
        <v>0</v>
      </c>
      <c r="DG76" s="3">
        <f aca="true" t="shared" si="48" ref="DG76:DN76">DG88</f>
        <v>0</v>
      </c>
      <c r="DH76" s="3">
        <f t="shared" si="48"/>
        <v>0</v>
      </c>
      <c r="DI76" s="3">
        <f t="shared" si="48"/>
        <v>0</v>
      </c>
      <c r="DJ76" s="3">
        <f t="shared" si="48"/>
        <v>0</v>
      </c>
      <c r="DK76" s="3">
        <f t="shared" si="48"/>
        <v>0</v>
      </c>
      <c r="DL76" s="3">
        <f t="shared" si="48"/>
        <v>0</v>
      </c>
      <c r="DM76" s="3">
        <f t="shared" si="48"/>
        <v>0</v>
      </c>
      <c r="DN76" s="3">
        <f t="shared" si="48"/>
        <v>0</v>
      </c>
    </row>
    <row r="78" spans="1:200" ht="12.75">
      <c r="A78">
        <v>17</v>
      </c>
      <c r="B78">
        <v>1</v>
      </c>
      <c r="C78">
        <f>ROW(SmtRes!A112)</f>
        <v>112</v>
      </c>
      <c r="D78">
        <f>ROW(EtalonRes!A129)</f>
        <v>129</v>
      </c>
      <c r="E78" t="s">
        <v>12</v>
      </c>
      <c r="F78" t="s">
        <v>181</v>
      </c>
      <c r="G78" t="s">
        <v>182</v>
      </c>
      <c r="H78" t="s">
        <v>15</v>
      </c>
      <c r="I78">
        <v>0.696</v>
      </c>
      <c r="J78">
        <v>0</v>
      </c>
      <c r="O78">
        <f aca="true" t="shared" si="49" ref="O78:O86">ROUND(CP78,0)</f>
        <v>1268</v>
      </c>
      <c r="P78">
        <f aca="true" t="shared" si="50" ref="P78:P86">ROUND(CQ78*I78,0)</f>
        <v>0</v>
      </c>
      <c r="Q78">
        <f aca="true" t="shared" si="51" ref="Q78:Q86">ROUND(CR78*I78,0)</f>
        <v>116</v>
      </c>
      <c r="R78">
        <f aca="true" t="shared" si="52" ref="R78:R86">ROUND(CS78*I78,0)</f>
        <v>0</v>
      </c>
      <c r="S78">
        <f aca="true" t="shared" si="53" ref="S78:S86">ROUND(CT78*I78,0)</f>
        <v>1152</v>
      </c>
      <c r="T78">
        <f aca="true" t="shared" si="54" ref="T78:T86">ROUND(CU78*I78,0)</f>
        <v>0</v>
      </c>
      <c r="U78">
        <f aca="true" t="shared" si="55" ref="U78:U86">CV78*I78</f>
        <v>10.00848</v>
      </c>
      <c r="V78">
        <f aca="true" t="shared" si="56" ref="V78:V86">CW78*I78</f>
        <v>0</v>
      </c>
      <c r="W78">
        <f aca="true" t="shared" si="57" ref="W78:W86">ROUND(CX78*I78,0)</f>
        <v>0</v>
      </c>
      <c r="X78">
        <f aca="true" t="shared" si="58" ref="X78:X86">ROUND(CY78,0)</f>
        <v>1267</v>
      </c>
      <c r="Y78">
        <f aca="true" t="shared" si="59" ref="Y78:Y86">ROUND(CZ78,0)</f>
        <v>806</v>
      </c>
      <c r="AA78">
        <v>27243028</v>
      </c>
      <c r="AB78">
        <f aca="true" t="shared" si="60" ref="AB78:AB86">ROUND((AC78+AD78+AF78),2)</f>
        <v>1822.44</v>
      </c>
      <c r="AC78">
        <f>ROUND((0),2)</f>
        <v>0</v>
      </c>
      <c r="AD78">
        <f>ROUND((SUM(SmtRes!BR111:SmtRes!BR112)),2)</f>
        <v>167.01</v>
      </c>
      <c r="AE78">
        <f aca="true" t="shared" si="61" ref="AE78:AE86">ROUND((0),2)</f>
        <v>0</v>
      </c>
      <c r="AF78">
        <f>ROUND((SUM(SmtRes!BT111:SmtRes!BT112)),2)</f>
        <v>1655.43</v>
      </c>
      <c r="AG78">
        <f aca="true" t="shared" si="62" ref="AG78:AG86">ROUND((AP78),2)</f>
        <v>0</v>
      </c>
      <c r="AH78">
        <f>(SUM(SmtRes!BU111:SmtRes!BU112))</f>
        <v>14.38</v>
      </c>
      <c r="AI78">
        <f>(0)</f>
        <v>0</v>
      </c>
      <c r="AJ78">
        <f aca="true" t="shared" si="63" ref="AJ78:AJ86">ROUND((AS78),2)</f>
        <v>0</v>
      </c>
      <c r="AK78">
        <v>1822.4326000000003</v>
      </c>
      <c r="AL78">
        <v>0</v>
      </c>
      <c r="AM78">
        <v>167.007</v>
      </c>
      <c r="AN78">
        <v>0</v>
      </c>
      <c r="AO78">
        <v>1655.4256000000003</v>
      </c>
      <c r="AP78">
        <v>0</v>
      </c>
      <c r="AQ78">
        <v>14.38</v>
      </c>
      <c r="AR78">
        <v>0</v>
      </c>
      <c r="AS78">
        <v>0</v>
      </c>
      <c r="AT78">
        <v>110</v>
      </c>
      <c r="AU78">
        <v>70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1</v>
      </c>
      <c r="BJ78" t="s">
        <v>183</v>
      </c>
      <c r="BM78">
        <v>46001</v>
      </c>
      <c r="BN78">
        <v>0</v>
      </c>
      <c r="BP78">
        <v>0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110</v>
      </c>
      <c r="CA78">
        <v>70</v>
      </c>
      <c r="CF78">
        <v>0</v>
      </c>
      <c r="CG78">
        <v>0</v>
      </c>
      <c r="CM78">
        <v>0</v>
      </c>
      <c r="CO78">
        <v>0</v>
      </c>
      <c r="CP78">
        <f aca="true" t="shared" si="64" ref="CP78:CP86">(P78+Q78+S78)</f>
        <v>1268</v>
      </c>
      <c r="CQ78">
        <f aca="true" t="shared" si="65" ref="CQ78:CQ86">AC78*BC78</f>
        <v>0</v>
      </c>
      <c r="CR78">
        <f aca="true" t="shared" si="66" ref="CR78:CR86">AD78*BB78</f>
        <v>167.01</v>
      </c>
      <c r="CS78">
        <f aca="true" t="shared" si="67" ref="CS78:CS86">AE78*BS78</f>
        <v>0</v>
      </c>
      <c r="CT78">
        <f aca="true" t="shared" si="68" ref="CT78:CT86">AF78*BA78</f>
        <v>1655.43</v>
      </c>
      <c r="CU78">
        <f aca="true" t="shared" si="69" ref="CU78:CU86">AG78</f>
        <v>0</v>
      </c>
      <c r="CV78">
        <f aca="true" t="shared" si="70" ref="CV78:CV86">AH78</f>
        <v>14.38</v>
      </c>
      <c r="CW78">
        <f aca="true" t="shared" si="71" ref="CW78:CW86">AI78</f>
        <v>0</v>
      </c>
      <c r="CX78">
        <f aca="true" t="shared" si="72" ref="CX78:CX86">AJ78</f>
        <v>0</v>
      </c>
      <c r="CY78">
        <f aca="true" t="shared" si="73" ref="CY78:CY84">((S78+R78)*(ROUND((FX78*IF(0,(IF(0,0.94,0.85)*IF(0,0.85,1)),1)),IF(0,0,2))/100))</f>
        <v>1267.2</v>
      </c>
      <c r="CZ78">
        <f aca="true" t="shared" si="74" ref="CZ78:CZ84">((S78+R78)*(ROUND((FY78*IF(0,0.8,1)),IF(0,0,2))/100))</f>
        <v>806.4</v>
      </c>
      <c r="DL78" t="s">
        <v>17</v>
      </c>
      <c r="DM78" t="s">
        <v>18</v>
      </c>
      <c r="DN78">
        <v>0</v>
      </c>
      <c r="DO78">
        <v>0</v>
      </c>
      <c r="DP78">
        <v>1</v>
      </c>
      <c r="DQ78">
        <v>1</v>
      </c>
      <c r="DU78">
        <v>1013</v>
      </c>
      <c r="DV78" t="s">
        <v>15</v>
      </c>
      <c r="DW78" t="s">
        <v>15</v>
      </c>
      <c r="DX78">
        <v>1</v>
      </c>
      <c r="EE78">
        <v>25701113</v>
      </c>
      <c r="EF78">
        <v>2</v>
      </c>
      <c r="EG78" t="s">
        <v>19</v>
      </c>
      <c r="EH78">
        <v>0</v>
      </c>
      <c r="EJ78">
        <v>1</v>
      </c>
      <c r="EK78">
        <v>46001</v>
      </c>
      <c r="EL78" t="s">
        <v>20</v>
      </c>
      <c r="EM78" t="s">
        <v>21</v>
      </c>
      <c r="EQ78">
        <v>131072</v>
      </c>
      <c r="ER78">
        <v>153.59</v>
      </c>
      <c r="ES78">
        <v>0</v>
      </c>
      <c r="ET78">
        <v>41.43</v>
      </c>
      <c r="EU78">
        <v>0</v>
      </c>
      <c r="EV78">
        <v>112.16</v>
      </c>
      <c r="EW78">
        <v>14.38</v>
      </c>
      <c r="EX78">
        <v>0</v>
      </c>
      <c r="EY78">
        <v>0</v>
      </c>
      <c r="FQ78">
        <v>0</v>
      </c>
      <c r="FR78">
        <f aca="true" t="shared" si="75" ref="FR78:FR86">ROUND(IF(AND(BH78=3,BI78=3),P78,0),0)</f>
        <v>0</v>
      </c>
      <c r="FS78">
        <v>0</v>
      </c>
      <c r="FU78" t="s">
        <v>22</v>
      </c>
      <c r="FX78">
        <v>110</v>
      </c>
      <c r="FY78">
        <v>70</v>
      </c>
      <c r="GF78">
        <v>1051019915</v>
      </c>
      <c r="GG78">
        <v>2</v>
      </c>
      <c r="GH78">
        <v>1</v>
      </c>
      <c r="GI78">
        <v>-2</v>
      </c>
      <c r="GJ78">
        <v>0</v>
      </c>
      <c r="GK78">
        <f>ROUND(R78*(R12)/100,0)</f>
        <v>0</v>
      </c>
      <c r="GL78">
        <f aca="true" t="shared" si="76" ref="GL78:GL86">ROUND(IF(AND(BH78=3,BI78=3,FS78&lt;&gt;0),P78,0),0)</f>
        <v>0</v>
      </c>
      <c r="GM78">
        <f aca="true" t="shared" si="77" ref="GM78:GM86">O78+X78+Y78</f>
        <v>3341</v>
      </c>
      <c r="GN78">
        <f aca="true" t="shared" si="78" ref="GN78:GN86">ROUND(IF(OR(BI78=0,BI78=1),O78+X78+Y78,0),0)</f>
        <v>3341</v>
      </c>
      <c r="GO78">
        <f aca="true" t="shared" si="79" ref="GO78:GO86">ROUND(IF(BI78=2,O78+X78+Y78,0),0)</f>
        <v>0</v>
      </c>
      <c r="GP78">
        <f aca="true" t="shared" si="80" ref="GP78:GP86">ROUND(IF(BI78=4,O78+X78+Y78,0),0)</f>
        <v>0</v>
      </c>
      <c r="GR78">
        <v>0</v>
      </c>
    </row>
    <row r="79" spans="1:200" ht="12.75">
      <c r="A79">
        <v>17</v>
      </c>
      <c r="B79">
        <v>1</v>
      </c>
      <c r="C79">
        <f>ROW(SmtRes!A118)</f>
        <v>118</v>
      </c>
      <c r="D79">
        <f>ROW(EtalonRes!A136)</f>
        <v>136</v>
      </c>
      <c r="E79" t="s">
        <v>23</v>
      </c>
      <c r="F79" t="s">
        <v>184</v>
      </c>
      <c r="G79" t="s">
        <v>185</v>
      </c>
      <c r="H79" t="s">
        <v>78</v>
      </c>
      <c r="I79">
        <v>0.936</v>
      </c>
      <c r="J79">
        <v>0</v>
      </c>
      <c r="O79">
        <f t="shared" si="49"/>
        <v>48975</v>
      </c>
      <c r="P79">
        <f t="shared" si="50"/>
        <v>29613</v>
      </c>
      <c r="Q79">
        <f t="shared" si="51"/>
        <v>11</v>
      </c>
      <c r="R79">
        <f t="shared" si="52"/>
        <v>0</v>
      </c>
      <c r="S79">
        <f t="shared" si="53"/>
        <v>19351</v>
      </c>
      <c r="T79">
        <f t="shared" si="54"/>
        <v>0</v>
      </c>
      <c r="U79">
        <f t="shared" si="55"/>
        <v>153.9252</v>
      </c>
      <c r="V79">
        <f t="shared" si="56"/>
        <v>0</v>
      </c>
      <c r="W79">
        <f t="shared" si="57"/>
        <v>0</v>
      </c>
      <c r="X79">
        <f t="shared" si="58"/>
        <v>20551</v>
      </c>
      <c r="Y79">
        <f t="shared" si="59"/>
        <v>10362</v>
      </c>
      <c r="AA79">
        <v>27243028</v>
      </c>
      <c r="AB79">
        <f t="shared" si="60"/>
        <v>52323.5</v>
      </c>
      <c r="AC79">
        <f>ROUND((SUM(SmtRes!BQ113:SmtRes!BQ118)),2)</f>
        <v>31637.41</v>
      </c>
      <c r="AD79">
        <f>ROUND((SUM(SmtRes!BR113:SmtRes!BR118)),2)</f>
        <v>11.44</v>
      </c>
      <c r="AE79">
        <f t="shared" si="61"/>
        <v>0</v>
      </c>
      <c r="AF79">
        <f>ROUND((SUM(SmtRes!BT113:SmtRes!BT118)),2)</f>
        <v>20674.65</v>
      </c>
      <c r="AG79">
        <f t="shared" si="62"/>
        <v>0</v>
      </c>
      <c r="AH79">
        <f>(SUM(SmtRes!BU113:SmtRes!BU118))</f>
        <v>164.45</v>
      </c>
      <c r="AI79">
        <f>(0)</f>
        <v>0</v>
      </c>
      <c r="AJ79">
        <f t="shared" si="63"/>
        <v>0</v>
      </c>
      <c r="AK79">
        <v>49624.51699999999</v>
      </c>
      <c r="AL79">
        <v>31637.405</v>
      </c>
      <c r="AM79">
        <v>9.152</v>
      </c>
      <c r="AN79">
        <v>0</v>
      </c>
      <c r="AO79">
        <v>17977.96</v>
      </c>
      <c r="AP79">
        <v>0</v>
      </c>
      <c r="AQ79">
        <v>143</v>
      </c>
      <c r="AR79">
        <v>0</v>
      </c>
      <c r="AS79">
        <v>0</v>
      </c>
      <c r="AT79">
        <v>106.2</v>
      </c>
      <c r="AU79">
        <v>53.55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79</v>
      </c>
      <c r="BM79">
        <v>10001</v>
      </c>
      <c r="BN79">
        <v>0</v>
      </c>
      <c r="BP79">
        <v>0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118</v>
      </c>
      <c r="CA79">
        <v>63</v>
      </c>
      <c r="CF79">
        <v>0</v>
      </c>
      <c r="CG79">
        <v>0</v>
      </c>
      <c r="CM79">
        <v>0</v>
      </c>
      <c r="CO79">
        <v>0</v>
      </c>
      <c r="CP79">
        <f t="shared" si="64"/>
        <v>48975</v>
      </c>
      <c r="CQ79">
        <f t="shared" si="65"/>
        <v>31637.41</v>
      </c>
      <c r="CR79">
        <f t="shared" si="66"/>
        <v>11.44</v>
      </c>
      <c r="CS79">
        <f t="shared" si="67"/>
        <v>0</v>
      </c>
      <c r="CT79">
        <f t="shared" si="68"/>
        <v>20674.65</v>
      </c>
      <c r="CU79">
        <f t="shared" si="69"/>
        <v>0</v>
      </c>
      <c r="CV79">
        <f t="shared" si="70"/>
        <v>164.45</v>
      </c>
      <c r="CW79">
        <f t="shared" si="71"/>
        <v>0</v>
      </c>
      <c r="CX79">
        <f t="shared" si="72"/>
        <v>0</v>
      </c>
      <c r="CY79">
        <f t="shared" si="73"/>
        <v>20550.762000000002</v>
      </c>
      <c r="CZ79">
        <f t="shared" si="74"/>
        <v>10362.4605</v>
      </c>
      <c r="DE79" t="s">
        <v>38</v>
      </c>
      <c r="DF79" t="s">
        <v>38</v>
      </c>
      <c r="DG79" t="s">
        <v>39</v>
      </c>
      <c r="DI79" t="s">
        <v>39</v>
      </c>
      <c r="DJ79" t="s">
        <v>38</v>
      </c>
      <c r="DL79" t="s">
        <v>80</v>
      </c>
      <c r="DM79" t="s">
        <v>81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78</v>
      </c>
      <c r="DW79" t="s">
        <v>78</v>
      </c>
      <c r="DX79">
        <v>1</v>
      </c>
      <c r="EE79">
        <v>25701053</v>
      </c>
      <c r="EF79">
        <v>2</v>
      </c>
      <c r="EG79" t="s">
        <v>19</v>
      </c>
      <c r="EH79">
        <v>0</v>
      </c>
      <c r="EJ79">
        <v>1</v>
      </c>
      <c r="EK79">
        <v>10001</v>
      </c>
      <c r="EL79" t="s">
        <v>31</v>
      </c>
      <c r="EM79" t="s">
        <v>32</v>
      </c>
      <c r="EQ79">
        <v>131072</v>
      </c>
      <c r="ER79">
        <v>4440.01</v>
      </c>
      <c r="ES79">
        <v>3330.14</v>
      </c>
      <c r="ET79">
        <v>81.7</v>
      </c>
      <c r="EU79">
        <v>0</v>
      </c>
      <c r="EV79">
        <v>1028.17</v>
      </c>
      <c r="EW79">
        <v>143</v>
      </c>
      <c r="EX79">
        <v>0</v>
      </c>
      <c r="EY79">
        <v>0</v>
      </c>
      <c r="FQ79">
        <v>0</v>
      </c>
      <c r="FR79">
        <f t="shared" si="75"/>
        <v>0</v>
      </c>
      <c r="FS79">
        <v>0</v>
      </c>
      <c r="FT79" t="s">
        <v>33</v>
      </c>
      <c r="FU79" t="s">
        <v>22</v>
      </c>
      <c r="FX79">
        <v>106.2</v>
      </c>
      <c r="FY79">
        <v>53.55</v>
      </c>
      <c r="GF79">
        <v>-564152828</v>
      </c>
      <c r="GG79">
        <v>2</v>
      </c>
      <c r="GH79">
        <v>0</v>
      </c>
      <c r="GI79">
        <v>-2</v>
      </c>
      <c r="GJ79">
        <v>0</v>
      </c>
      <c r="GK79">
        <f>ROUND(R79*(R12)/100,0)</f>
        <v>0</v>
      </c>
      <c r="GL79">
        <f t="shared" si="76"/>
        <v>0</v>
      </c>
      <c r="GM79">
        <f t="shared" si="77"/>
        <v>79888</v>
      </c>
      <c r="GN79">
        <f t="shared" si="78"/>
        <v>79888</v>
      </c>
      <c r="GO79">
        <f t="shared" si="79"/>
        <v>0</v>
      </c>
      <c r="GP79">
        <f t="shared" si="80"/>
        <v>0</v>
      </c>
      <c r="GR79">
        <v>0</v>
      </c>
    </row>
    <row r="80" spans="1:200" ht="12.75">
      <c r="A80">
        <v>17</v>
      </c>
      <c r="B80">
        <v>1</v>
      </c>
      <c r="C80">
        <f>ROW(SmtRes!A119)</f>
        <v>119</v>
      </c>
      <c r="D80">
        <f>ROW(EtalonRes!A145)</f>
        <v>145</v>
      </c>
      <c r="E80" t="s">
        <v>34</v>
      </c>
      <c r="F80" t="s">
        <v>186</v>
      </c>
      <c r="G80" t="s">
        <v>187</v>
      </c>
      <c r="H80" t="s">
        <v>188</v>
      </c>
      <c r="I80">
        <v>4</v>
      </c>
      <c r="J80">
        <v>0</v>
      </c>
      <c r="O80">
        <f t="shared" si="49"/>
        <v>1354</v>
      </c>
      <c r="P80">
        <f t="shared" si="50"/>
        <v>0</v>
      </c>
      <c r="Q80">
        <f t="shared" si="51"/>
        <v>0</v>
      </c>
      <c r="R80">
        <f t="shared" si="52"/>
        <v>0</v>
      </c>
      <c r="S80">
        <f t="shared" si="53"/>
        <v>1354</v>
      </c>
      <c r="T80">
        <f t="shared" si="54"/>
        <v>0</v>
      </c>
      <c r="U80">
        <f t="shared" si="55"/>
        <v>9.408</v>
      </c>
      <c r="V80">
        <f t="shared" si="56"/>
        <v>0</v>
      </c>
      <c r="W80">
        <f t="shared" si="57"/>
        <v>0</v>
      </c>
      <c r="X80">
        <f t="shared" si="58"/>
        <v>1733</v>
      </c>
      <c r="Y80">
        <f t="shared" si="59"/>
        <v>1124</v>
      </c>
      <c r="AA80">
        <v>27243028</v>
      </c>
      <c r="AB80">
        <f t="shared" si="60"/>
        <v>338.57</v>
      </c>
      <c r="AC80">
        <f>ROUND((0),2)</f>
        <v>0</v>
      </c>
      <c r="AD80">
        <f>ROUND((0),2)</f>
        <v>0</v>
      </c>
      <c r="AE80">
        <f t="shared" si="61"/>
        <v>0</v>
      </c>
      <c r="AF80">
        <f>ROUND((SUM(SmtRes!BT119:SmtRes!BT119)),2)</f>
        <v>338.57</v>
      </c>
      <c r="AG80">
        <f t="shared" si="62"/>
        <v>0</v>
      </c>
      <c r="AH80">
        <f>(SUM(SmtRes!BU119:SmtRes!BU119))</f>
        <v>2.352</v>
      </c>
      <c r="AI80">
        <f>(0)</f>
        <v>0</v>
      </c>
      <c r="AJ80">
        <f t="shared" si="63"/>
        <v>0</v>
      </c>
      <c r="AK80">
        <v>423.21299999999997</v>
      </c>
      <c r="AL80">
        <v>0</v>
      </c>
      <c r="AM80">
        <v>0</v>
      </c>
      <c r="AN80">
        <v>0</v>
      </c>
      <c r="AO80">
        <v>423.21299999999997</v>
      </c>
      <c r="AP80">
        <v>0</v>
      </c>
      <c r="AQ80">
        <v>2.94</v>
      </c>
      <c r="AR80">
        <v>0</v>
      </c>
      <c r="AS80">
        <v>0</v>
      </c>
      <c r="AT80">
        <v>128</v>
      </c>
      <c r="AU80">
        <v>83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H80">
        <v>0</v>
      </c>
      <c r="BI80">
        <v>1</v>
      </c>
      <c r="BJ80" t="s">
        <v>189</v>
      </c>
      <c r="BM80">
        <v>16001</v>
      </c>
      <c r="BN80">
        <v>0</v>
      </c>
      <c r="BP80">
        <v>0</v>
      </c>
      <c r="BQ80">
        <v>2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128</v>
      </c>
      <c r="CA80">
        <v>83</v>
      </c>
      <c r="CF80">
        <v>0</v>
      </c>
      <c r="CG80">
        <v>0</v>
      </c>
      <c r="CM80">
        <v>0</v>
      </c>
      <c r="CO80">
        <v>0</v>
      </c>
      <c r="CP80">
        <f t="shared" si="64"/>
        <v>1354</v>
      </c>
      <c r="CQ80">
        <f t="shared" si="65"/>
        <v>0</v>
      </c>
      <c r="CR80">
        <f t="shared" si="66"/>
        <v>0</v>
      </c>
      <c r="CS80">
        <f t="shared" si="67"/>
        <v>0</v>
      </c>
      <c r="CT80">
        <f t="shared" si="68"/>
        <v>338.57</v>
      </c>
      <c r="CU80">
        <f t="shared" si="69"/>
        <v>0</v>
      </c>
      <c r="CV80">
        <f t="shared" si="70"/>
        <v>2.352</v>
      </c>
      <c r="CW80">
        <f t="shared" si="71"/>
        <v>0</v>
      </c>
      <c r="CX80">
        <f t="shared" si="72"/>
        <v>0</v>
      </c>
      <c r="CY80">
        <f t="shared" si="73"/>
        <v>1733.1200000000001</v>
      </c>
      <c r="CZ80">
        <f t="shared" si="74"/>
        <v>1123.82</v>
      </c>
      <c r="DE80" t="s">
        <v>28</v>
      </c>
      <c r="DF80" t="s">
        <v>28</v>
      </c>
      <c r="DG80" t="s">
        <v>28</v>
      </c>
      <c r="DI80" t="s">
        <v>28</v>
      </c>
      <c r="DJ80" t="s">
        <v>28</v>
      </c>
      <c r="DL80" t="s">
        <v>190</v>
      </c>
      <c r="DM80" t="s">
        <v>92</v>
      </c>
      <c r="DN80">
        <v>0</v>
      </c>
      <c r="DO80">
        <v>0</v>
      </c>
      <c r="DP80">
        <v>1</v>
      </c>
      <c r="DQ80">
        <v>1</v>
      </c>
      <c r="DU80">
        <v>1013</v>
      </c>
      <c r="DV80" t="s">
        <v>188</v>
      </c>
      <c r="DW80" t="s">
        <v>188</v>
      </c>
      <c r="DX80">
        <v>1</v>
      </c>
      <c r="EE80">
        <v>25701077</v>
      </c>
      <c r="EF80">
        <v>2</v>
      </c>
      <c r="EG80" t="s">
        <v>19</v>
      </c>
      <c r="EH80">
        <v>0</v>
      </c>
      <c r="EJ80">
        <v>1</v>
      </c>
      <c r="EK80">
        <v>16001</v>
      </c>
      <c r="EL80" t="s">
        <v>191</v>
      </c>
      <c r="EM80" t="s">
        <v>192</v>
      </c>
      <c r="EQ80">
        <v>131072</v>
      </c>
      <c r="ER80">
        <v>438.22</v>
      </c>
      <c r="ES80">
        <v>395.79</v>
      </c>
      <c r="ET80">
        <v>18.23</v>
      </c>
      <c r="EU80">
        <v>0.11</v>
      </c>
      <c r="EV80">
        <v>24.2</v>
      </c>
      <c r="EW80">
        <v>2.94</v>
      </c>
      <c r="EX80">
        <v>0.01</v>
      </c>
      <c r="EY80">
        <v>0</v>
      </c>
      <c r="FQ80">
        <v>0</v>
      </c>
      <c r="FR80">
        <f t="shared" si="75"/>
        <v>0</v>
      </c>
      <c r="FS80">
        <v>0</v>
      </c>
      <c r="FT80" t="s">
        <v>33</v>
      </c>
      <c r="FU80" t="s">
        <v>22</v>
      </c>
      <c r="FX80">
        <v>128</v>
      </c>
      <c r="FY80">
        <v>83</v>
      </c>
      <c r="GF80">
        <v>1133199619</v>
      </c>
      <c r="GG80">
        <v>2</v>
      </c>
      <c r="GH80">
        <v>0</v>
      </c>
      <c r="GI80">
        <v>-2</v>
      </c>
      <c r="GJ80">
        <v>0</v>
      </c>
      <c r="GK80">
        <f>ROUND(R80*(R12)/100,0)</f>
        <v>0</v>
      </c>
      <c r="GL80">
        <f t="shared" si="76"/>
        <v>0</v>
      </c>
      <c r="GM80">
        <f t="shared" si="77"/>
        <v>4211</v>
      </c>
      <c r="GN80">
        <f t="shared" si="78"/>
        <v>4211</v>
      </c>
      <c r="GO80">
        <f t="shared" si="79"/>
        <v>0</v>
      </c>
      <c r="GP80">
        <f t="shared" si="80"/>
        <v>0</v>
      </c>
      <c r="GR80">
        <v>0</v>
      </c>
    </row>
    <row r="81" spans="1:200" ht="12.75">
      <c r="A81">
        <v>17</v>
      </c>
      <c r="B81">
        <v>1</v>
      </c>
      <c r="C81">
        <f>ROW(SmtRes!A123)</f>
        <v>123</v>
      </c>
      <c r="D81">
        <f>ROW(EtalonRes!A154)</f>
        <v>154</v>
      </c>
      <c r="E81" t="s">
        <v>44</v>
      </c>
      <c r="F81" t="s">
        <v>186</v>
      </c>
      <c r="G81" t="s">
        <v>193</v>
      </c>
      <c r="H81" t="s">
        <v>188</v>
      </c>
      <c r="I81">
        <v>4</v>
      </c>
      <c r="J81">
        <v>0</v>
      </c>
      <c r="O81">
        <f t="shared" si="49"/>
        <v>11820</v>
      </c>
      <c r="P81">
        <f t="shared" si="50"/>
        <v>9831</v>
      </c>
      <c r="Q81">
        <f t="shared" si="51"/>
        <v>42</v>
      </c>
      <c r="R81">
        <f t="shared" si="52"/>
        <v>0</v>
      </c>
      <c r="S81">
        <f t="shared" si="53"/>
        <v>1947</v>
      </c>
      <c r="T81">
        <f t="shared" si="54"/>
        <v>0</v>
      </c>
      <c r="U81">
        <f t="shared" si="55"/>
        <v>13.524</v>
      </c>
      <c r="V81">
        <f t="shared" si="56"/>
        <v>0.05</v>
      </c>
      <c r="W81">
        <f t="shared" si="57"/>
        <v>0</v>
      </c>
      <c r="X81">
        <f t="shared" si="58"/>
        <v>2243</v>
      </c>
      <c r="Y81">
        <f t="shared" si="59"/>
        <v>1374</v>
      </c>
      <c r="AA81">
        <v>27243028</v>
      </c>
      <c r="AB81">
        <f t="shared" si="60"/>
        <v>2954.93</v>
      </c>
      <c r="AC81">
        <f>ROUND((SUM(SmtRes!BQ120:SmtRes!BQ123)),2)</f>
        <v>2457.63</v>
      </c>
      <c r="AD81">
        <f>ROUND((SUM(SmtRes!BR120:SmtRes!BR123)),2)</f>
        <v>10.61</v>
      </c>
      <c r="AE81">
        <f t="shared" si="61"/>
        <v>0</v>
      </c>
      <c r="AF81">
        <f>ROUND((SUM(SmtRes!BT120:SmtRes!BT123)),2)</f>
        <v>486.69</v>
      </c>
      <c r="AG81">
        <f t="shared" si="62"/>
        <v>0</v>
      </c>
      <c r="AH81">
        <f>(SUM(SmtRes!BU120:SmtRes!BU123))</f>
        <v>3.381</v>
      </c>
      <c r="AI81">
        <f>(SUM(SmtRes!BV120:SmtRes!BV123))</f>
        <v>0.0125</v>
      </c>
      <c r="AJ81">
        <f t="shared" si="63"/>
        <v>0</v>
      </c>
      <c r="AK81">
        <v>2889.3345</v>
      </c>
      <c r="AL81">
        <v>2457.63</v>
      </c>
      <c r="AM81">
        <v>8.4915</v>
      </c>
      <c r="AN81">
        <v>0</v>
      </c>
      <c r="AO81">
        <v>423.21299999999997</v>
      </c>
      <c r="AP81">
        <v>0</v>
      </c>
      <c r="AQ81">
        <v>2.94</v>
      </c>
      <c r="AR81">
        <v>0.01</v>
      </c>
      <c r="AS81">
        <v>0</v>
      </c>
      <c r="AT81">
        <v>115.2</v>
      </c>
      <c r="AU81">
        <v>70.55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H81">
        <v>0</v>
      </c>
      <c r="BI81">
        <v>1</v>
      </c>
      <c r="BJ81" t="s">
        <v>189</v>
      </c>
      <c r="BM81">
        <v>16001</v>
      </c>
      <c r="BN81">
        <v>0</v>
      </c>
      <c r="BP81">
        <v>0</v>
      </c>
      <c r="BQ81">
        <v>2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128</v>
      </c>
      <c r="CA81">
        <v>83</v>
      </c>
      <c r="CF81">
        <v>0</v>
      </c>
      <c r="CG81">
        <v>0</v>
      </c>
      <c r="CM81">
        <v>0</v>
      </c>
      <c r="CO81">
        <v>0</v>
      </c>
      <c r="CP81">
        <f t="shared" si="64"/>
        <v>11820</v>
      </c>
      <c r="CQ81">
        <f t="shared" si="65"/>
        <v>2457.63</v>
      </c>
      <c r="CR81">
        <f t="shared" si="66"/>
        <v>10.61</v>
      </c>
      <c r="CS81">
        <f t="shared" si="67"/>
        <v>0</v>
      </c>
      <c r="CT81">
        <f t="shared" si="68"/>
        <v>486.69</v>
      </c>
      <c r="CU81">
        <f t="shared" si="69"/>
        <v>0</v>
      </c>
      <c r="CV81">
        <f t="shared" si="70"/>
        <v>3.381</v>
      </c>
      <c r="CW81">
        <f t="shared" si="71"/>
        <v>0.0125</v>
      </c>
      <c r="CX81">
        <f t="shared" si="72"/>
        <v>0</v>
      </c>
      <c r="CY81">
        <f t="shared" si="73"/>
        <v>2242.9440000000004</v>
      </c>
      <c r="CZ81">
        <f t="shared" si="74"/>
        <v>1373.6085</v>
      </c>
      <c r="DE81" t="s">
        <v>38</v>
      </c>
      <c r="DF81" t="s">
        <v>38</v>
      </c>
      <c r="DG81" t="s">
        <v>39</v>
      </c>
      <c r="DI81" t="s">
        <v>39</v>
      </c>
      <c r="DJ81" t="s">
        <v>38</v>
      </c>
      <c r="DL81" t="s">
        <v>194</v>
      </c>
      <c r="DM81" t="s">
        <v>195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188</v>
      </c>
      <c r="DW81" t="s">
        <v>188</v>
      </c>
      <c r="DX81">
        <v>1</v>
      </c>
      <c r="EE81">
        <v>25701077</v>
      </c>
      <c r="EF81">
        <v>2</v>
      </c>
      <c r="EG81" t="s">
        <v>19</v>
      </c>
      <c r="EH81">
        <v>0</v>
      </c>
      <c r="EJ81">
        <v>1</v>
      </c>
      <c r="EK81">
        <v>16001</v>
      </c>
      <c r="EL81" t="s">
        <v>191</v>
      </c>
      <c r="EM81" t="s">
        <v>192</v>
      </c>
      <c r="EQ81">
        <v>131072</v>
      </c>
      <c r="ER81">
        <v>438.22</v>
      </c>
      <c r="ES81">
        <v>395.79</v>
      </c>
      <c r="ET81">
        <v>18.23</v>
      </c>
      <c r="EU81">
        <v>0.11</v>
      </c>
      <c r="EV81">
        <v>24.2</v>
      </c>
      <c r="EW81">
        <v>2.94</v>
      </c>
      <c r="EX81">
        <v>0.01</v>
      </c>
      <c r="EY81">
        <v>0</v>
      </c>
      <c r="FQ81">
        <v>0</v>
      </c>
      <c r="FR81">
        <f t="shared" si="75"/>
        <v>0</v>
      </c>
      <c r="FS81">
        <v>0</v>
      </c>
      <c r="FT81" t="s">
        <v>33</v>
      </c>
      <c r="FU81" t="s">
        <v>22</v>
      </c>
      <c r="FX81">
        <v>115.2</v>
      </c>
      <c r="FY81">
        <v>70.55</v>
      </c>
      <c r="GF81">
        <v>2137470886</v>
      </c>
      <c r="GG81">
        <v>2</v>
      </c>
      <c r="GH81">
        <v>0</v>
      </c>
      <c r="GI81">
        <v>-2</v>
      </c>
      <c r="GJ81">
        <v>0</v>
      </c>
      <c r="GK81">
        <f>ROUND(R81*(R12)/100,0)</f>
        <v>0</v>
      </c>
      <c r="GL81">
        <f t="shared" si="76"/>
        <v>0</v>
      </c>
      <c r="GM81">
        <f t="shared" si="77"/>
        <v>15437</v>
      </c>
      <c r="GN81">
        <f t="shared" si="78"/>
        <v>15437</v>
      </c>
      <c r="GO81">
        <f t="shared" si="79"/>
        <v>0</v>
      </c>
      <c r="GP81">
        <f t="shared" si="80"/>
        <v>0</v>
      </c>
      <c r="GR81">
        <v>0</v>
      </c>
    </row>
    <row r="82" spans="1:200" ht="12.75">
      <c r="A82">
        <v>17</v>
      </c>
      <c r="B82">
        <v>1</v>
      </c>
      <c r="C82">
        <f>ROW(SmtRes!A145)</f>
        <v>145</v>
      </c>
      <c r="D82">
        <f>ROW(EtalonRes!A171)</f>
        <v>171</v>
      </c>
      <c r="E82" t="s">
        <v>49</v>
      </c>
      <c r="F82" t="s">
        <v>83</v>
      </c>
      <c r="G82" t="s">
        <v>84</v>
      </c>
      <c r="H82" t="s">
        <v>85</v>
      </c>
      <c r="I82">
        <v>26.68</v>
      </c>
      <c r="J82">
        <v>0</v>
      </c>
      <c r="O82">
        <f t="shared" si="49"/>
        <v>6186114</v>
      </c>
      <c r="P82">
        <f t="shared" si="50"/>
        <v>5921689</v>
      </c>
      <c r="Q82">
        <f t="shared" si="51"/>
        <v>14396</v>
      </c>
      <c r="R82">
        <f t="shared" si="52"/>
        <v>0</v>
      </c>
      <c r="S82">
        <f t="shared" si="53"/>
        <v>250029</v>
      </c>
      <c r="T82">
        <f t="shared" si="54"/>
        <v>0</v>
      </c>
      <c r="U82">
        <f t="shared" si="55"/>
        <v>1890.0111999999997</v>
      </c>
      <c r="V82">
        <f t="shared" si="56"/>
        <v>3.335</v>
      </c>
      <c r="W82">
        <f t="shared" si="57"/>
        <v>0</v>
      </c>
      <c r="X82">
        <f t="shared" si="58"/>
        <v>270031</v>
      </c>
      <c r="Y82">
        <f t="shared" si="59"/>
        <v>138141</v>
      </c>
      <c r="AA82">
        <v>27243028</v>
      </c>
      <c r="AB82">
        <f t="shared" si="60"/>
        <v>231863.35</v>
      </c>
      <c r="AC82">
        <f>ROUND((SUM(SmtRes!BQ124:SmtRes!BQ145)),2)</f>
        <v>221952.36</v>
      </c>
      <c r="AD82">
        <f>ROUND((SUM(SmtRes!BR124:SmtRes!BR145)),2)</f>
        <v>539.57</v>
      </c>
      <c r="AE82">
        <f t="shared" si="61"/>
        <v>0</v>
      </c>
      <c r="AF82">
        <f>ROUND((SUM(SmtRes!BT124:SmtRes!BT145)),2)</f>
        <v>9371.42</v>
      </c>
      <c r="AG82">
        <f t="shared" si="62"/>
        <v>0</v>
      </c>
      <c r="AH82">
        <f>(SUM(SmtRes!BU124:SmtRes!BU145))</f>
        <v>70.83999999999999</v>
      </c>
      <c r="AI82">
        <f>(SUM(SmtRes!BV124:SmtRes!BV145))</f>
        <v>0.125</v>
      </c>
      <c r="AJ82">
        <f t="shared" si="63"/>
        <v>0</v>
      </c>
      <c r="AK82">
        <v>230533.08636860683</v>
      </c>
      <c r="AL82">
        <v>221952.36426860682</v>
      </c>
      <c r="AM82">
        <v>431.6581</v>
      </c>
      <c r="AN82">
        <v>0</v>
      </c>
      <c r="AO82">
        <v>8149.063999999999</v>
      </c>
      <c r="AP82">
        <v>0</v>
      </c>
      <c r="AQ82">
        <v>61.6</v>
      </c>
      <c r="AR82">
        <v>0.1</v>
      </c>
      <c r="AS82">
        <v>0</v>
      </c>
      <c r="AT82">
        <v>108</v>
      </c>
      <c r="AU82">
        <v>55.25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H82">
        <v>0</v>
      </c>
      <c r="BI82">
        <v>1</v>
      </c>
      <c r="BJ82" t="s">
        <v>86</v>
      </c>
      <c r="BM82">
        <v>12001</v>
      </c>
      <c r="BN82">
        <v>0</v>
      </c>
      <c r="BP82">
        <v>0</v>
      </c>
      <c r="BQ82">
        <v>2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120</v>
      </c>
      <c r="CA82">
        <v>65</v>
      </c>
      <c r="CF82">
        <v>0</v>
      </c>
      <c r="CG82">
        <v>0</v>
      </c>
      <c r="CM82">
        <v>0</v>
      </c>
      <c r="CO82">
        <v>0</v>
      </c>
      <c r="CP82">
        <f t="shared" si="64"/>
        <v>6186114</v>
      </c>
      <c r="CQ82">
        <f t="shared" si="65"/>
        <v>221952.36</v>
      </c>
      <c r="CR82">
        <f t="shared" si="66"/>
        <v>539.57</v>
      </c>
      <c r="CS82">
        <f t="shared" si="67"/>
        <v>0</v>
      </c>
      <c r="CT82">
        <f t="shared" si="68"/>
        <v>9371.42</v>
      </c>
      <c r="CU82">
        <f t="shared" si="69"/>
        <v>0</v>
      </c>
      <c r="CV82">
        <f t="shared" si="70"/>
        <v>70.83999999999999</v>
      </c>
      <c r="CW82">
        <f t="shared" si="71"/>
        <v>0.125</v>
      </c>
      <c r="CX82">
        <f t="shared" si="72"/>
        <v>0</v>
      </c>
      <c r="CY82">
        <f t="shared" si="73"/>
        <v>270031.32</v>
      </c>
      <c r="CZ82">
        <f t="shared" si="74"/>
        <v>138141.0225</v>
      </c>
      <c r="DE82" t="s">
        <v>38</v>
      </c>
      <c r="DF82" t="s">
        <v>38</v>
      </c>
      <c r="DG82" t="s">
        <v>39</v>
      </c>
      <c r="DI82" t="s">
        <v>39</v>
      </c>
      <c r="DJ82" t="s">
        <v>38</v>
      </c>
      <c r="DL82" t="s">
        <v>54</v>
      </c>
      <c r="DM82" t="s">
        <v>55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85</v>
      </c>
      <c r="DW82" t="s">
        <v>85</v>
      </c>
      <c r="DX82">
        <v>1</v>
      </c>
      <c r="EE82">
        <v>25701055</v>
      </c>
      <c r="EF82">
        <v>2</v>
      </c>
      <c r="EG82" t="s">
        <v>19</v>
      </c>
      <c r="EH82">
        <v>0</v>
      </c>
      <c r="EJ82">
        <v>1</v>
      </c>
      <c r="EK82">
        <v>12001</v>
      </c>
      <c r="EL82" t="s">
        <v>56</v>
      </c>
      <c r="EM82" t="s">
        <v>57</v>
      </c>
      <c r="EQ82">
        <v>131072</v>
      </c>
      <c r="ER82">
        <v>1690.68</v>
      </c>
      <c r="ES82">
        <v>1122</v>
      </c>
      <c r="ET82">
        <v>102.98</v>
      </c>
      <c r="EU82">
        <v>1.14</v>
      </c>
      <c r="EV82">
        <v>465.7</v>
      </c>
      <c r="EW82">
        <v>61.6</v>
      </c>
      <c r="EX82">
        <v>0.1</v>
      </c>
      <c r="EY82">
        <v>0</v>
      </c>
      <c r="FQ82">
        <v>0</v>
      </c>
      <c r="FR82">
        <f t="shared" si="75"/>
        <v>0</v>
      </c>
      <c r="FS82">
        <v>0</v>
      </c>
      <c r="FT82" t="s">
        <v>33</v>
      </c>
      <c r="FU82" t="s">
        <v>22</v>
      </c>
      <c r="FX82">
        <v>108</v>
      </c>
      <c r="FY82">
        <v>55.25</v>
      </c>
      <c r="GF82">
        <v>-708563892</v>
      </c>
      <c r="GG82">
        <v>2</v>
      </c>
      <c r="GH82">
        <v>0</v>
      </c>
      <c r="GI82">
        <v>-2</v>
      </c>
      <c r="GJ82">
        <v>0</v>
      </c>
      <c r="GK82">
        <f>ROUND(R82*(R12)/100,0)</f>
        <v>0</v>
      </c>
      <c r="GL82">
        <f t="shared" si="76"/>
        <v>0</v>
      </c>
      <c r="GM82">
        <f t="shared" si="77"/>
        <v>6594286</v>
      </c>
      <c r="GN82">
        <f t="shared" si="78"/>
        <v>6594286</v>
      </c>
      <c r="GO82">
        <f t="shared" si="79"/>
        <v>0</v>
      </c>
      <c r="GP82">
        <f t="shared" si="80"/>
        <v>0</v>
      </c>
      <c r="GR82">
        <v>0</v>
      </c>
    </row>
    <row r="83" spans="1:200" ht="12.75">
      <c r="A83">
        <v>17</v>
      </c>
      <c r="B83">
        <v>1</v>
      </c>
      <c r="C83">
        <f>ROW(SmtRes!A151)</f>
        <v>151</v>
      </c>
      <c r="D83">
        <f>ROW(EtalonRes!A180)</f>
        <v>180</v>
      </c>
      <c r="E83" t="s">
        <v>58</v>
      </c>
      <c r="F83" t="s">
        <v>88</v>
      </c>
      <c r="G83" t="s">
        <v>89</v>
      </c>
      <c r="H83" t="s">
        <v>90</v>
      </c>
      <c r="I83">
        <v>3.36</v>
      </c>
      <c r="J83">
        <v>0</v>
      </c>
      <c r="O83">
        <f t="shared" si="49"/>
        <v>91935</v>
      </c>
      <c r="P83">
        <f t="shared" si="50"/>
        <v>50792</v>
      </c>
      <c r="Q83">
        <f t="shared" si="51"/>
        <v>218</v>
      </c>
      <c r="R83">
        <f t="shared" si="52"/>
        <v>0</v>
      </c>
      <c r="S83">
        <f t="shared" si="53"/>
        <v>40925</v>
      </c>
      <c r="T83">
        <f t="shared" si="54"/>
        <v>0</v>
      </c>
      <c r="U83">
        <f t="shared" si="55"/>
        <v>340.16639999999995</v>
      </c>
      <c r="V83">
        <f t="shared" si="56"/>
        <v>0.84</v>
      </c>
      <c r="W83">
        <f t="shared" si="57"/>
        <v>0</v>
      </c>
      <c r="X83">
        <f t="shared" si="58"/>
        <v>33968</v>
      </c>
      <c r="Y83">
        <f t="shared" si="59"/>
        <v>26601</v>
      </c>
      <c r="AA83">
        <v>27243028</v>
      </c>
      <c r="AB83">
        <f t="shared" si="60"/>
        <v>27361.45</v>
      </c>
      <c r="AC83">
        <f>ROUND((SUM(SmtRes!BQ146:SmtRes!BQ151)),2)</f>
        <v>15116.53</v>
      </c>
      <c r="AD83">
        <f>ROUND((SUM(SmtRes!BR146:SmtRes!BR151)),2)</f>
        <v>64.74</v>
      </c>
      <c r="AE83">
        <f t="shared" si="61"/>
        <v>0</v>
      </c>
      <c r="AF83">
        <f>ROUND((SUM(SmtRes!BT146:SmtRes!BT151)),2)</f>
        <v>12180.18</v>
      </c>
      <c r="AG83">
        <f t="shared" si="62"/>
        <v>0</v>
      </c>
      <c r="AH83">
        <f>(SUM(SmtRes!BU146:SmtRes!BU151))</f>
        <v>101.24</v>
      </c>
      <c r="AI83">
        <f>(SUM(SmtRes!BV146:SmtRes!BV151))</f>
        <v>0.25</v>
      </c>
      <c r="AJ83">
        <f t="shared" si="63"/>
        <v>0</v>
      </c>
      <c r="AK83">
        <v>27361.4538</v>
      </c>
      <c r="AL83">
        <v>15116.534399999999</v>
      </c>
      <c r="AM83">
        <v>64.735</v>
      </c>
      <c r="AN83">
        <v>0</v>
      </c>
      <c r="AO83">
        <v>12180.1844</v>
      </c>
      <c r="AP83">
        <v>0</v>
      </c>
      <c r="AQ83">
        <v>101.24</v>
      </c>
      <c r="AR83">
        <v>0.25</v>
      </c>
      <c r="AS83">
        <v>0</v>
      </c>
      <c r="AT83">
        <v>83</v>
      </c>
      <c r="AU83">
        <v>65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H83">
        <v>0</v>
      </c>
      <c r="BI83">
        <v>1</v>
      </c>
      <c r="BJ83" t="s">
        <v>91</v>
      </c>
      <c r="BM83">
        <v>58001</v>
      </c>
      <c r="BN83">
        <v>0</v>
      </c>
      <c r="BP83">
        <v>0</v>
      </c>
      <c r="BQ83">
        <v>6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83</v>
      </c>
      <c r="CA83">
        <v>65</v>
      </c>
      <c r="CF83">
        <v>0</v>
      </c>
      <c r="CG83">
        <v>0</v>
      </c>
      <c r="CM83">
        <v>0</v>
      </c>
      <c r="CO83">
        <v>0</v>
      </c>
      <c r="CP83">
        <f t="shared" si="64"/>
        <v>91935</v>
      </c>
      <c r="CQ83">
        <f t="shared" si="65"/>
        <v>15116.53</v>
      </c>
      <c r="CR83">
        <f t="shared" si="66"/>
        <v>64.74</v>
      </c>
      <c r="CS83">
        <f t="shared" si="67"/>
        <v>0</v>
      </c>
      <c r="CT83">
        <f t="shared" si="68"/>
        <v>12180.18</v>
      </c>
      <c r="CU83">
        <f t="shared" si="69"/>
        <v>0</v>
      </c>
      <c r="CV83">
        <f t="shared" si="70"/>
        <v>101.24</v>
      </c>
      <c r="CW83">
        <f t="shared" si="71"/>
        <v>0.25</v>
      </c>
      <c r="CX83">
        <f t="shared" si="72"/>
        <v>0</v>
      </c>
      <c r="CY83">
        <f t="shared" si="73"/>
        <v>33967.75</v>
      </c>
      <c r="CZ83">
        <f t="shared" si="74"/>
        <v>26601.25</v>
      </c>
      <c r="DL83" t="s">
        <v>92</v>
      </c>
      <c r="DM83" t="s">
        <v>93</v>
      </c>
      <c r="DN83">
        <v>0</v>
      </c>
      <c r="DO83">
        <v>0</v>
      </c>
      <c r="DP83">
        <v>1</v>
      </c>
      <c r="DQ83">
        <v>1</v>
      </c>
      <c r="DU83">
        <v>1003</v>
      </c>
      <c r="DV83" t="s">
        <v>90</v>
      </c>
      <c r="DW83" t="s">
        <v>90</v>
      </c>
      <c r="DX83">
        <v>100</v>
      </c>
      <c r="EE83">
        <v>25701127</v>
      </c>
      <c r="EF83">
        <v>6</v>
      </c>
      <c r="EG83" t="s">
        <v>94</v>
      </c>
      <c r="EH83">
        <v>0</v>
      </c>
      <c r="EJ83">
        <v>1</v>
      </c>
      <c r="EK83">
        <v>58001</v>
      </c>
      <c r="EL83" t="s">
        <v>95</v>
      </c>
      <c r="EM83" t="s">
        <v>96</v>
      </c>
      <c r="EQ83">
        <v>131072</v>
      </c>
      <c r="ER83">
        <v>6059.09</v>
      </c>
      <c r="ES83">
        <v>5345.86</v>
      </c>
      <c r="ET83">
        <v>16.7</v>
      </c>
      <c r="EU83">
        <v>2.46</v>
      </c>
      <c r="EV83">
        <v>696.53</v>
      </c>
      <c r="EW83">
        <v>101.24</v>
      </c>
      <c r="EX83">
        <v>0.25</v>
      </c>
      <c r="EY83">
        <v>0</v>
      </c>
      <c r="FQ83">
        <v>0</v>
      </c>
      <c r="FR83">
        <f t="shared" si="75"/>
        <v>0</v>
      </c>
      <c r="FS83">
        <v>0</v>
      </c>
      <c r="FX83">
        <v>83</v>
      </c>
      <c r="FY83">
        <v>65</v>
      </c>
      <c r="GF83">
        <v>-1509090373</v>
      </c>
      <c r="GG83">
        <v>2</v>
      </c>
      <c r="GH83">
        <v>0</v>
      </c>
      <c r="GI83">
        <v>-2</v>
      </c>
      <c r="GJ83">
        <v>0</v>
      </c>
      <c r="GK83">
        <f>ROUND(R83*(R12)/100,0)</f>
        <v>0</v>
      </c>
      <c r="GL83">
        <f t="shared" si="76"/>
        <v>0</v>
      </c>
      <c r="GM83">
        <f t="shared" si="77"/>
        <v>152504</v>
      </c>
      <c r="GN83">
        <f t="shared" si="78"/>
        <v>152504</v>
      </c>
      <c r="GO83">
        <f t="shared" si="79"/>
        <v>0</v>
      </c>
      <c r="GP83">
        <f t="shared" si="80"/>
        <v>0</v>
      </c>
      <c r="GR83">
        <v>0</v>
      </c>
    </row>
    <row r="84" spans="1:200" ht="12.75">
      <c r="A84">
        <v>17</v>
      </c>
      <c r="B84">
        <v>1</v>
      </c>
      <c r="C84">
        <f>ROW(SmtRes!A157)</f>
        <v>157</v>
      </c>
      <c r="D84">
        <f>ROW(EtalonRes!A187)</f>
        <v>187</v>
      </c>
      <c r="E84" t="s">
        <v>63</v>
      </c>
      <c r="F84" t="s">
        <v>196</v>
      </c>
      <c r="G84" t="s">
        <v>197</v>
      </c>
      <c r="H84" t="s">
        <v>198</v>
      </c>
      <c r="I84">
        <v>0.5</v>
      </c>
      <c r="J84">
        <v>0</v>
      </c>
      <c r="O84">
        <f t="shared" si="49"/>
        <v>4745</v>
      </c>
      <c r="P84">
        <f t="shared" si="50"/>
        <v>2559</v>
      </c>
      <c r="Q84">
        <f t="shared" si="51"/>
        <v>93</v>
      </c>
      <c r="R84">
        <f t="shared" si="52"/>
        <v>0</v>
      </c>
      <c r="S84">
        <f t="shared" si="53"/>
        <v>2093</v>
      </c>
      <c r="T84">
        <f t="shared" si="54"/>
        <v>0</v>
      </c>
      <c r="U84">
        <f t="shared" si="55"/>
        <v>17.695</v>
      </c>
      <c r="V84">
        <f t="shared" si="56"/>
        <v>0.215</v>
      </c>
      <c r="W84">
        <f t="shared" si="57"/>
        <v>0</v>
      </c>
      <c r="X84">
        <f t="shared" si="58"/>
        <v>1800</v>
      </c>
      <c r="Y84">
        <f t="shared" si="59"/>
        <v>1465</v>
      </c>
      <c r="AA84">
        <v>27243028</v>
      </c>
      <c r="AB84">
        <f t="shared" si="60"/>
        <v>9492.25</v>
      </c>
      <c r="AC84">
        <f>ROUND((SUM(SmtRes!BQ152:SmtRes!BQ157)),2)</f>
        <v>5118.85</v>
      </c>
      <c r="AD84">
        <f>ROUND((SUM(SmtRes!BR152:SmtRes!BR157)),2)</f>
        <v>186.76</v>
      </c>
      <c r="AE84">
        <f t="shared" si="61"/>
        <v>0</v>
      </c>
      <c r="AF84">
        <f>ROUND((SUM(SmtRes!BT152:SmtRes!BT157)),2)</f>
        <v>4186.64</v>
      </c>
      <c r="AG84">
        <f t="shared" si="62"/>
        <v>0</v>
      </c>
      <c r="AH84">
        <f>(SUM(SmtRes!BU152:SmtRes!BU157))</f>
        <v>35.39</v>
      </c>
      <c r="AI84">
        <f>(SUM(SmtRes!BV152:SmtRes!BV157))</f>
        <v>0.43</v>
      </c>
      <c r="AJ84">
        <f t="shared" si="63"/>
        <v>0</v>
      </c>
      <c r="AK84">
        <v>9492.24722</v>
      </c>
      <c r="AL84">
        <v>5118.848019999999</v>
      </c>
      <c r="AM84">
        <v>186.7622</v>
      </c>
      <c r="AN84">
        <v>0</v>
      </c>
      <c r="AO84">
        <v>4186.637</v>
      </c>
      <c r="AP84">
        <v>0</v>
      </c>
      <c r="AQ84">
        <v>35.39</v>
      </c>
      <c r="AR84">
        <v>0.43</v>
      </c>
      <c r="AS84">
        <v>0</v>
      </c>
      <c r="AT84">
        <v>86</v>
      </c>
      <c r="AU84">
        <v>70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H84">
        <v>0</v>
      </c>
      <c r="BI84">
        <v>1</v>
      </c>
      <c r="BJ84" t="s">
        <v>199</v>
      </c>
      <c r="BM84">
        <v>53001</v>
      </c>
      <c r="BN84">
        <v>0</v>
      </c>
      <c r="BP84">
        <v>0</v>
      </c>
      <c r="BQ84">
        <v>6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86</v>
      </c>
      <c r="CA84">
        <v>70</v>
      </c>
      <c r="CF84">
        <v>0</v>
      </c>
      <c r="CG84">
        <v>0</v>
      </c>
      <c r="CM84">
        <v>0</v>
      </c>
      <c r="CO84">
        <v>0</v>
      </c>
      <c r="CP84">
        <f t="shared" si="64"/>
        <v>4745</v>
      </c>
      <c r="CQ84">
        <f t="shared" si="65"/>
        <v>5118.85</v>
      </c>
      <c r="CR84">
        <f t="shared" si="66"/>
        <v>186.76</v>
      </c>
      <c r="CS84">
        <f t="shared" si="67"/>
        <v>0</v>
      </c>
      <c r="CT84">
        <f t="shared" si="68"/>
        <v>4186.64</v>
      </c>
      <c r="CU84">
        <f t="shared" si="69"/>
        <v>0</v>
      </c>
      <c r="CV84">
        <f t="shared" si="70"/>
        <v>35.39</v>
      </c>
      <c r="CW84">
        <f t="shared" si="71"/>
        <v>0.43</v>
      </c>
      <c r="CX84">
        <f t="shared" si="72"/>
        <v>0</v>
      </c>
      <c r="CY84">
        <f t="shared" si="73"/>
        <v>1799.98</v>
      </c>
      <c r="CZ84">
        <f t="shared" si="74"/>
        <v>1465.1</v>
      </c>
      <c r="DL84" t="s">
        <v>200</v>
      </c>
      <c r="DM84" t="s">
        <v>18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198</v>
      </c>
      <c r="DW84" t="s">
        <v>198</v>
      </c>
      <c r="DX84">
        <v>1</v>
      </c>
      <c r="EE84">
        <v>25701122</v>
      </c>
      <c r="EF84">
        <v>6</v>
      </c>
      <c r="EG84" t="s">
        <v>94</v>
      </c>
      <c r="EH84">
        <v>0</v>
      </c>
      <c r="EJ84">
        <v>1</v>
      </c>
      <c r="EK84">
        <v>53001</v>
      </c>
      <c r="EL84" t="s">
        <v>201</v>
      </c>
      <c r="EM84" t="s">
        <v>202</v>
      </c>
      <c r="EQ84">
        <v>131072</v>
      </c>
      <c r="ER84">
        <v>1149.58</v>
      </c>
      <c r="ES84">
        <v>836.16</v>
      </c>
      <c r="ET84">
        <v>29.59</v>
      </c>
      <c r="EU84">
        <v>5.81</v>
      </c>
      <c r="EV84">
        <v>283.83</v>
      </c>
      <c r="EW84">
        <v>35.39</v>
      </c>
      <c r="EX84">
        <v>0.43</v>
      </c>
      <c r="EY84">
        <v>0</v>
      </c>
      <c r="FQ84">
        <v>0</v>
      </c>
      <c r="FR84">
        <f t="shared" si="75"/>
        <v>0</v>
      </c>
      <c r="FS84">
        <v>0</v>
      </c>
      <c r="FX84">
        <v>86</v>
      </c>
      <c r="FY84">
        <v>70</v>
      </c>
      <c r="GF84">
        <v>1792513118</v>
      </c>
      <c r="GG84">
        <v>2</v>
      </c>
      <c r="GH84">
        <v>1</v>
      </c>
      <c r="GI84">
        <v>-2</v>
      </c>
      <c r="GJ84">
        <v>0</v>
      </c>
      <c r="GK84">
        <f>ROUND(R84*(R12)/100,0)</f>
        <v>0</v>
      </c>
      <c r="GL84">
        <f t="shared" si="76"/>
        <v>0</v>
      </c>
      <c r="GM84">
        <f t="shared" si="77"/>
        <v>8010</v>
      </c>
      <c r="GN84">
        <f t="shared" si="78"/>
        <v>8010</v>
      </c>
      <c r="GO84">
        <f t="shared" si="79"/>
        <v>0</v>
      </c>
      <c r="GP84">
        <f t="shared" si="80"/>
        <v>0</v>
      </c>
      <c r="GR84">
        <v>0</v>
      </c>
    </row>
    <row r="85" spans="1:200" ht="12.75">
      <c r="A85">
        <v>17</v>
      </c>
      <c r="B85">
        <v>1</v>
      </c>
      <c r="C85">
        <f>ROW(SmtRes!A158)</f>
        <v>158</v>
      </c>
      <c r="E85" t="s">
        <v>203</v>
      </c>
      <c r="F85" t="s">
        <v>98</v>
      </c>
      <c r="G85" t="s">
        <v>99</v>
      </c>
      <c r="H85" t="s">
        <v>100</v>
      </c>
      <c r="I85">
        <v>1</v>
      </c>
      <c r="J85">
        <v>0</v>
      </c>
      <c r="O85">
        <f t="shared" si="49"/>
        <v>178</v>
      </c>
      <c r="P85">
        <f t="shared" si="50"/>
        <v>0</v>
      </c>
      <c r="Q85">
        <f t="shared" si="51"/>
        <v>178</v>
      </c>
      <c r="R85">
        <f t="shared" si="52"/>
        <v>0</v>
      </c>
      <c r="S85">
        <f t="shared" si="53"/>
        <v>0</v>
      </c>
      <c r="T85">
        <f t="shared" si="54"/>
        <v>0</v>
      </c>
      <c r="U85">
        <f t="shared" si="55"/>
        <v>0</v>
      </c>
      <c r="V85">
        <f t="shared" si="56"/>
        <v>0</v>
      </c>
      <c r="W85">
        <f t="shared" si="57"/>
        <v>0</v>
      </c>
      <c r="X85">
        <f t="shared" si="58"/>
        <v>0</v>
      </c>
      <c r="Y85">
        <f t="shared" si="59"/>
        <v>0</v>
      </c>
      <c r="AA85">
        <v>27243028</v>
      </c>
      <c r="AB85">
        <f t="shared" si="60"/>
        <v>178.15</v>
      </c>
      <c r="AC85">
        <f>ROUND((0),2)</f>
        <v>0</v>
      </c>
      <c r="AD85">
        <f>ROUND((SUM(SmtRes!BR158:SmtRes!BR158)),2)</f>
        <v>178.15</v>
      </c>
      <c r="AE85">
        <f t="shared" si="61"/>
        <v>0</v>
      </c>
      <c r="AF85">
        <f>ROUND((0),2)</f>
        <v>0</v>
      </c>
      <c r="AG85">
        <f t="shared" si="62"/>
        <v>0</v>
      </c>
      <c r="AH85">
        <f>(0)</f>
        <v>0</v>
      </c>
      <c r="AI85">
        <f>(0)</f>
        <v>0</v>
      </c>
      <c r="AJ85">
        <f t="shared" si="63"/>
        <v>0</v>
      </c>
      <c r="AK85">
        <v>178.15248</v>
      </c>
      <c r="AL85">
        <v>0</v>
      </c>
      <c r="AM85">
        <v>178.15248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H85">
        <v>0</v>
      </c>
      <c r="BI85">
        <v>1</v>
      </c>
      <c r="BJ85" t="s">
        <v>101</v>
      </c>
      <c r="BM85">
        <v>1203</v>
      </c>
      <c r="BN85">
        <v>0</v>
      </c>
      <c r="BP85">
        <v>0</v>
      </c>
      <c r="BQ85">
        <v>10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CP85">
        <f t="shared" si="64"/>
        <v>178</v>
      </c>
      <c r="CQ85">
        <f t="shared" si="65"/>
        <v>0</v>
      </c>
      <c r="CR85">
        <f t="shared" si="66"/>
        <v>178.15</v>
      </c>
      <c r="CS85">
        <f t="shared" si="67"/>
        <v>0</v>
      </c>
      <c r="CT85">
        <f t="shared" si="68"/>
        <v>0</v>
      </c>
      <c r="CU85">
        <f t="shared" si="69"/>
        <v>0</v>
      </c>
      <c r="CV85">
        <f t="shared" si="70"/>
        <v>0</v>
      </c>
      <c r="CW85">
        <f t="shared" si="71"/>
        <v>0</v>
      </c>
      <c r="CX85">
        <f t="shared" si="72"/>
        <v>0</v>
      </c>
      <c r="CY85">
        <f>((S85+R85)*(ROUND(FX85,IF(0,0,2))/100))</f>
        <v>0</v>
      </c>
      <c r="CZ85">
        <f>((S85+R85)*(ROUND((FY85*1),IF(0,0,2))/100))</f>
        <v>0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100</v>
      </c>
      <c r="DW85" t="s">
        <v>100</v>
      </c>
      <c r="DX85">
        <v>1000</v>
      </c>
      <c r="EE85">
        <v>25701030</v>
      </c>
      <c r="EF85">
        <v>10</v>
      </c>
      <c r="EG85" t="s">
        <v>102</v>
      </c>
      <c r="EH85">
        <v>0</v>
      </c>
      <c r="EJ85">
        <v>1</v>
      </c>
      <c r="EK85">
        <v>1203</v>
      </c>
      <c r="EL85" t="s">
        <v>103</v>
      </c>
      <c r="EM85" t="s">
        <v>104</v>
      </c>
      <c r="EQ85">
        <v>131072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FQ85">
        <v>0</v>
      </c>
      <c r="FR85">
        <f t="shared" si="75"/>
        <v>0</v>
      </c>
      <c r="FS85">
        <v>0</v>
      </c>
      <c r="FX85">
        <v>0</v>
      </c>
      <c r="FY85">
        <v>0</v>
      </c>
      <c r="GF85">
        <v>-477423169</v>
      </c>
      <c r="GG85">
        <v>2</v>
      </c>
      <c r="GH85">
        <v>0</v>
      </c>
      <c r="GI85">
        <v>-2</v>
      </c>
      <c r="GJ85">
        <v>0</v>
      </c>
      <c r="GK85">
        <f>ROUND(R85*(R12)/100,0)</f>
        <v>0</v>
      </c>
      <c r="GL85">
        <f t="shared" si="76"/>
        <v>0</v>
      </c>
      <c r="GM85">
        <f t="shared" si="77"/>
        <v>178</v>
      </c>
      <c r="GN85">
        <f t="shared" si="78"/>
        <v>178</v>
      </c>
      <c r="GO85">
        <f t="shared" si="79"/>
        <v>0</v>
      </c>
      <c r="GP85">
        <f t="shared" si="80"/>
        <v>0</v>
      </c>
      <c r="GR85">
        <v>0</v>
      </c>
    </row>
    <row r="86" spans="1:200" ht="12.75">
      <c r="A86">
        <v>17</v>
      </c>
      <c r="B86">
        <v>1</v>
      </c>
      <c r="C86">
        <f>ROW(SmtRes!A160)</f>
        <v>160</v>
      </c>
      <c r="D86">
        <f>ROW(EtalonRes!A189)</f>
        <v>189</v>
      </c>
      <c r="E86" t="s">
        <v>70</v>
      </c>
      <c r="F86" t="s">
        <v>106</v>
      </c>
      <c r="G86" t="s">
        <v>107</v>
      </c>
      <c r="H86" t="s">
        <v>100</v>
      </c>
      <c r="I86">
        <v>1</v>
      </c>
      <c r="J86">
        <v>0</v>
      </c>
      <c r="O86">
        <f t="shared" si="49"/>
        <v>17</v>
      </c>
      <c r="P86">
        <f t="shared" si="50"/>
        <v>0</v>
      </c>
      <c r="Q86">
        <f t="shared" si="51"/>
        <v>17</v>
      </c>
      <c r="R86">
        <f t="shared" si="52"/>
        <v>0</v>
      </c>
      <c r="S86">
        <f t="shared" si="53"/>
        <v>0</v>
      </c>
      <c r="T86">
        <f t="shared" si="54"/>
        <v>0</v>
      </c>
      <c r="U86">
        <f t="shared" si="55"/>
        <v>0</v>
      </c>
      <c r="V86">
        <f t="shared" si="56"/>
        <v>0.024</v>
      </c>
      <c r="W86">
        <f t="shared" si="57"/>
        <v>0</v>
      </c>
      <c r="X86">
        <f t="shared" si="58"/>
        <v>0</v>
      </c>
      <c r="Y86">
        <f t="shared" si="59"/>
        <v>0</v>
      </c>
      <c r="AA86">
        <v>27243028</v>
      </c>
      <c r="AB86">
        <f t="shared" si="60"/>
        <v>16.99</v>
      </c>
      <c r="AC86">
        <f>ROUND((0),2)</f>
        <v>0</v>
      </c>
      <c r="AD86">
        <f>ROUND((SUM(SmtRes!BR159:SmtRes!BR160)),2)</f>
        <v>16.99</v>
      </c>
      <c r="AE86">
        <f t="shared" si="61"/>
        <v>0</v>
      </c>
      <c r="AF86">
        <f>ROUND((0),2)</f>
        <v>0</v>
      </c>
      <c r="AG86">
        <f t="shared" si="62"/>
        <v>0</v>
      </c>
      <c r="AH86">
        <f>(0)</f>
        <v>0</v>
      </c>
      <c r="AI86">
        <f>(SUM(SmtRes!BV159:SmtRes!BV160))</f>
        <v>0.024</v>
      </c>
      <c r="AJ86">
        <f t="shared" si="63"/>
        <v>0</v>
      </c>
      <c r="AK86">
        <v>16.98672</v>
      </c>
      <c r="AL86">
        <v>0</v>
      </c>
      <c r="AM86">
        <v>16.98672</v>
      </c>
      <c r="AN86">
        <v>0</v>
      </c>
      <c r="AO86">
        <v>0</v>
      </c>
      <c r="AP86">
        <v>0</v>
      </c>
      <c r="AQ86">
        <v>0</v>
      </c>
      <c r="AR86">
        <v>0.024</v>
      </c>
      <c r="AS86">
        <v>0</v>
      </c>
      <c r="AT86">
        <v>85</v>
      </c>
      <c r="AU86">
        <v>48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H86">
        <v>0</v>
      </c>
      <c r="BI86">
        <v>1</v>
      </c>
      <c r="BJ86" t="s">
        <v>108</v>
      </c>
      <c r="BM86">
        <v>1201</v>
      </c>
      <c r="BN86">
        <v>0</v>
      </c>
      <c r="BP86">
        <v>0</v>
      </c>
      <c r="BQ86">
        <v>2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100</v>
      </c>
      <c r="CA86">
        <v>60</v>
      </c>
      <c r="CF86">
        <v>0</v>
      </c>
      <c r="CG86">
        <v>0</v>
      </c>
      <c r="CM86">
        <v>0</v>
      </c>
      <c r="CO86">
        <v>0</v>
      </c>
      <c r="CP86">
        <f t="shared" si="64"/>
        <v>17</v>
      </c>
      <c r="CQ86">
        <f t="shared" si="65"/>
        <v>0</v>
      </c>
      <c r="CR86">
        <f t="shared" si="66"/>
        <v>16.99</v>
      </c>
      <c r="CS86">
        <f t="shared" si="67"/>
        <v>0</v>
      </c>
      <c r="CT86">
        <f t="shared" si="68"/>
        <v>0</v>
      </c>
      <c r="CU86">
        <f t="shared" si="69"/>
        <v>0</v>
      </c>
      <c r="CV86">
        <f t="shared" si="70"/>
        <v>0</v>
      </c>
      <c r="CW86">
        <f t="shared" si="71"/>
        <v>0.024</v>
      </c>
      <c r="CX86">
        <f t="shared" si="72"/>
        <v>0</v>
      </c>
      <c r="CY86">
        <f>((S86+R86)*(ROUND(FX86,IF(0,0,2))/100))</f>
        <v>0</v>
      </c>
      <c r="CZ86">
        <f>((S86+R86)*(ROUND((FY86*1),IF(0,0,2))/100))</f>
        <v>0</v>
      </c>
      <c r="DL86" t="s">
        <v>109</v>
      </c>
      <c r="DM86" t="s">
        <v>110</v>
      </c>
      <c r="DN86">
        <v>0</v>
      </c>
      <c r="DO86">
        <v>0</v>
      </c>
      <c r="DP86">
        <v>1</v>
      </c>
      <c r="DQ86">
        <v>1</v>
      </c>
      <c r="DU86">
        <v>1009</v>
      </c>
      <c r="DV86" t="s">
        <v>100</v>
      </c>
      <c r="DW86" t="s">
        <v>100</v>
      </c>
      <c r="DX86">
        <v>1000</v>
      </c>
      <c r="EE86">
        <v>25701027</v>
      </c>
      <c r="EF86">
        <v>2</v>
      </c>
      <c r="EG86" t="s">
        <v>19</v>
      </c>
      <c r="EH86">
        <v>0</v>
      </c>
      <c r="EJ86">
        <v>1</v>
      </c>
      <c r="EK86">
        <v>1201</v>
      </c>
      <c r="EL86" t="s">
        <v>111</v>
      </c>
      <c r="EM86" t="s">
        <v>112</v>
      </c>
      <c r="EQ86">
        <v>131072</v>
      </c>
      <c r="ER86">
        <v>3.02</v>
      </c>
      <c r="ES86">
        <v>0</v>
      </c>
      <c r="ET86">
        <v>3.02</v>
      </c>
      <c r="EU86">
        <v>0.32</v>
      </c>
      <c r="EV86">
        <v>0</v>
      </c>
      <c r="EW86">
        <v>0</v>
      </c>
      <c r="EX86">
        <v>0.024</v>
      </c>
      <c r="EY86">
        <v>0</v>
      </c>
      <c r="FQ86">
        <v>0</v>
      </c>
      <c r="FR86">
        <f t="shared" si="75"/>
        <v>0</v>
      </c>
      <c r="FS86">
        <v>0</v>
      </c>
      <c r="FX86">
        <v>85</v>
      </c>
      <c r="FY86">
        <v>48</v>
      </c>
      <c r="GF86">
        <v>-1582404745</v>
      </c>
      <c r="GG86">
        <v>2</v>
      </c>
      <c r="GH86">
        <v>0</v>
      </c>
      <c r="GI86">
        <v>-2</v>
      </c>
      <c r="GJ86">
        <v>0</v>
      </c>
      <c r="GK86">
        <f>ROUND(R86*(R12)/100,0)</f>
        <v>0</v>
      </c>
      <c r="GL86">
        <f t="shared" si="76"/>
        <v>0</v>
      </c>
      <c r="GM86">
        <f t="shared" si="77"/>
        <v>17</v>
      </c>
      <c r="GN86">
        <f t="shared" si="78"/>
        <v>17</v>
      </c>
      <c r="GO86">
        <f t="shared" si="79"/>
        <v>0</v>
      </c>
      <c r="GP86">
        <f t="shared" si="80"/>
        <v>0</v>
      </c>
      <c r="GR86">
        <v>0</v>
      </c>
    </row>
    <row r="88" spans="1:118" ht="12.75">
      <c r="A88" s="2">
        <v>51</v>
      </c>
      <c r="B88" s="2">
        <f>B74</f>
        <v>1</v>
      </c>
      <c r="C88" s="2">
        <f>A74</f>
        <v>3</v>
      </c>
      <c r="D88" s="2">
        <f>ROW(A74)</f>
        <v>74</v>
      </c>
      <c r="E88" s="2"/>
      <c r="F88" s="2" t="str">
        <f>IF(F74&lt;&gt;"",F74,"")</f>
        <v>Ремонт кровли корпуса №20 в осях (1-9) (Г-Ж)</v>
      </c>
      <c r="G88" s="2" t="str">
        <f>IF(G74&lt;&gt;"",G74,"")</f>
        <v>Ремонт кровли корпуса №20 в осях  (1-9) (Г-Ж)</v>
      </c>
      <c r="H88" s="2"/>
      <c r="I88" s="2"/>
      <c r="J88" s="2"/>
      <c r="K88" s="2"/>
      <c r="L88" s="2"/>
      <c r="M88" s="2"/>
      <c r="N88" s="2"/>
      <c r="O88" s="2">
        <f aca="true" t="shared" si="81" ref="O88:T88">ROUND(AB88,0)</f>
        <v>6346406</v>
      </c>
      <c r="P88" s="2">
        <f t="shared" si="81"/>
        <v>6014484</v>
      </c>
      <c r="Q88" s="2">
        <f t="shared" si="81"/>
        <v>15071</v>
      </c>
      <c r="R88" s="2">
        <f t="shared" si="81"/>
        <v>0</v>
      </c>
      <c r="S88" s="2">
        <f t="shared" si="81"/>
        <v>316851</v>
      </c>
      <c r="T88" s="2">
        <f t="shared" si="81"/>
        <v>0</v>
      </c>
      <c r="U88" s="2">
        <f>AH88</f>
        <v>2434.73828</v>
      </c>
      <c r="V88" s="2">
        <f>AI88</f>
        <v>4.4639999999999995</v>
      </c>
      <c r="W88" s="2">
        <f>ROUND(AJ88,0)</f>
        <v>0</v>
      </c>
      <c r="X88" s="2">
        <f>ROUND(AK88,0)</f>
        <v>331593</v>
      </c>
      <c r="Y88" s="2">
        <f>ROUND(AL88,0)</f>
        <v>179873</v>
      </c>
      <c r="Z88" s="2"/>
      <c r="AA88" s="2"/>
      <c r="AB88" s="2">
        <f>ROUND(SUMIF(AA78:AA86,"=27243028",O78:O86),0)</f>
        <v>6346406</v>
      </c>
      <c r="AC88" s="2">
        <f>ROUND(SUMIF(AA78:AA86,"=27243028",P78:P86),0)</f>
        <v>6014484</v>
      </c>
      <c r="AD88" s="2">
        <f>ROUND(SUMIF(AA78:AA86,"=27243028",Q78:Q86),0)</f>
        <v>15071</v>
      </c>
      <c r="AE88" s="2">
        <f>ROUND(SUMIF(AA78:AA86,"=27243028",R78:R86),0)</f>
        <v>0</v>
      </c>
      <c r="AF88" s="2">
        <f>ROUND(SUMIF(AA78:AA86,"=27243028",S78:S86),0)</f>
        <v>316851</v>
      </c>
      <c r="AG88" s="2">
        <f>ROUND(SUMIF(AA78:AA86,"=27243028",T78:T86),0)</f>
        <v>0</v>
      </c>
      <c r="AH88" s="2">
        <f>SUMIF(AA78:AA86,"=27243028",U78:U86)</f>
        <v>2434.73828</v>
      </c>
      <c r="AI88" s="2">
        <f>SUMIF(AA78:AA86,"=27243028",V78:V86)</f>
        <v>4.4639999999999995</v>
      </c>
      <c r="AJ88" s="2">
        <f>ROUND(SUMIF(AA78:AA86,"=27243028",W78:W86),0)</f>
        <v>0</v>
      </c>
      <c r="AK88" s="2">
        <f>ROUND(SUMIF(AA78:AA86,"=27243028",X78:X86),0)</f>
        <v>331593</v>
      </c>
      <c r="AL88" s="2">
        <f>ROUND(SUMIF(AA78:AA86,"=27243028",Y78:Y86),0)</f>
        <v>179873</v>
      </c>
      <c r="AM88" s="2"/>
      <c r="AN88" s="2"/>
      <c r="AO88" s="2">
        <f aca="true" t="shared" si="82" ref="AO88:AZ88">ROUND(BB88,0)</f>
        <v>0</v>
      </c>
      <c r="AP88" s="2">
        <f t="shared" si="82"/>
        <v>0</v>
      </c>
      <c r="AQ88" s="2">
        <f t="shared" si="82"/>
        <v>0</v>
      </c>
      <c r="AR88" s="2">
        <f t="shared" si="82"/>
        <v>6857872</v>
      </c>
      <c r="AS88" s="2">
        <f t="shared" si="82"/>
        <v>6857872</v>
      </c>
      <c r="AT88" s="2">
        <f t="shared" si="82"/>
        <v>0</v>
      </c>
      <c r="AU88" s="2">
        <f t="shared" si="82"/>
        <v>0</v>
      </c>
      <c r="AV88" s="2">
        <f t="shared" si="82"/>
        <v>6014484</v>
      </c>
      <c r="AW88" s="2">
        <f t="shared" si="82"/>
        <v>6014484</v>
      </c>
      <c r="AX88" s="2">
        <f t="shared" si="82"/>
        <v>0</v>
      </c>
      <c r="AY88" s="2">
        <f t="shared" si="82"/>
        <v>6014484</v>
      </c>
      <c r="AZ88" s="2">
        <f t="shared" si="82"/>
        <v>0</v>
      </c>
      <c r="BA88" s="2"/>
      <c r="BB88" s="2">
        <f>ROUND(SUMIF(AA78:AA86,"=27243028",FQ78:FQ86),0)</f>
        <v>0</v>
      </c>
      <c r="BC88" s="2">
        <f>ROUND(SUMIF(AA78:AA86,"=27243028",FR78:FR86),0)</f>
        <v>0</v>
      </c>
      <c r="BD88" s="2">
        <f>ROUND(SUMIF(AA78:AA86,"=27243028",GL78:GL86),0)</f>
        <v>0</v>
      </c>
      <c r="BE88" s="2">
        <f>ROUND(SUMIF(AA78:AA86,"=27243028",GM78:GM86),0)</f>
        <v>6857872</v>
      </c>
      <c r="BF88" s="2">
        <f>ROUND(SUMIF(AA78:AA86,"=27243028",GN78:GN86),0)</f>
        <v>6857872</v>
      </c>
      <c r="BG88" s="2">
        <f>ROUND(SUMIF(AA78:AA86,"=27243028",GO78:GO86),0)</f>
        <v>0</v>
      </c>
      <c r="BH88" s="2">
        <f>ROUND(SUMIF(AA78:AA86,"=27243028",GP78:GP86),0)</f>
        <v>0</v>
      </c>
      <c r="BI88" s="2">
        <f>AC88-BB88</f>
        <v>6014484</v>
      </c>
      <c r="BJ88" s="2">
        <f>AC88-BC88</f>
        <v>6014484</v>
      </c>
      <c r="BK88" s="2">
        <f>BB88-BD88</f>
        <v>0</v>
      </c>
      <c r="BL88" s="2">
        <f>AC88-BB88-BC88+BD88</f>
        <v>6014484</v>
      </c>
      <c r="BM88" s="2">
        <f>BC88-BD88</f>
        <v>0</v>
      </c>
      <c r="BN88" s="2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>
        <v>0</v>
      </c>
    </row>
    <row r="90" spans="1:16" ht="12.75">
      <c r="A90" s="4">
        <v>50</v>
      </c>
      <c r="B90" s="4">
        <v>0</v>
      </c>
      <c r="C90" s="4">
        <v>0</v>
      </c>
      <c r="D90" s="4">
        <v>1</v>
      </c>
      <c r="E90" s="4">
        <v>201</v>
      </c>
      <c r="F90" s="4">
        <f>ROUND(Source!O88,O90)</f>
        <v>6346406</v>
      </c>
      <c r="G90" s="4" t="s">
        <v>113</v>
      </c>
      <c r="H90" s="4" t="s">
        <v>114</v>
      </c>
      <c r="I90" s="4"/>
      <c r="J90" s="4"/>
      <c r="K90" s="4">
        <v>201</v>
      </c>
      <c r="L90" s="4">
        <v>1</v>
      </c>
      <c r="M90" s="4">
        <v>3</v>
      </c>
      <c r="N90" s="4" t="s">
        <v>3</v>
      </c>
      <c r="O90" s="4">
        <v>0</v>
      </c>
      <c r="P90" s="4"/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202</v>
      </c>
      <c r="F91" s="4">
        <f>ROUND(Source!P88,O91)</f>
        <v>6014484</v>
      </c>
      <c r="G91" s="4" t="s">
        <v>115</v>
      </c>
      <c r="H91" s="4" t="s">
        <v>116</v>
      </c>
      <c r="I91" s="4"/>
      <c r="J91" s="4"/>
      <c r="K91" s="4">
        <v>202</v>
      </c>
      <c r="L91" s="4">
        <v>2</v>
      </c>
      <c r="M91" s="4">
        <v>3</v>
      </c>
      <c r="N91" s="4" t="s">
        <v>3</v>
      </c>
      <c r="O91" s="4">
        <v>0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222</v>
      </c>
      <c r="F92" s="4">
        <f>ROUND(Source!AO88,O92)</f>
        <v>0</v>
      </c>
      <c r="G92" s="4" t="s">
        <v>117</v>
      </c>
      <c r="H92" s="4" t="s">
        <v>118</v>
      </c>
      <c r="I92" s="4"/>
      <c r="J92" s="4"/>
      <c r="K92" s="4">
        <v>222</v>
      </c>
      <c r="L92" s="4">
        <v>3</v>
      </c>
      <c r="M92" s="4">
        <v>3</v>
      </c>
      <c r="N92" s="4" t="s">
        <v>3</v>
      </c>
      <c r="O92" s="4">
        <v>0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225</v>
      </c>
      <c r="F93" s="4">
        <f>ROUND(Source!AV88,O93)</f>
        <v>6014484</v>
      </c>
      <c r="G93" s="4" t="s">
        <v>119</v>
      </c>
      <c r="H93" s="4" t="s">
        <v>120</v>
      </c>
      <c r="I93" s="4"/>
      <c r="J93" s="4"/>
      <c r="K93" s="4">
        <v>225</v>
      </c>
      <c r="L93" s="4">
        <v>4</v>
      </c>
      <c r="M93" s="4">
        <v>3</v>
      </c>
      <c r="N93" s="4" t="s">
        <v>3</v>
      </c>
      <c r="O93" s="4">
        <v>0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226</v>
      </c>
      <c r="F94" s="4">
        <f>ROUND(Source!AW88,O94)</f>
        <v>6014484</v>
      </c>
      <c r="G94" s="4" t="s">
        <v>121</v>
      </c>
      <c r="H94" s="4" t="s">
        <v>122</v>
      </c>
      <c r="I94" s="4"/>
      <c r="J94" s="4"/>
      <c r="K94" s="4">
        <v>226</v>
      </c>
      <c r="L94" s="4">
        <v>5</v>
      </c>
      <c r="M94" s="4">
        <v>3</v>
      </c>
      <c r="N94" s="4" t="s">
        <v>3</v>
      </c>
      <c r="O94" s="4">
        <v>0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227</v>
      </c>
      <c r="F95" s="4">
        <f>ROUND(Source!AX88,O95)</f>
        <v>0</v>
      </c>
      <c r="G95" s="4" t="s">
        <v>123</v>
      </c>
      <c r="H95" s="4" t="s">
        <v>124</v>
      </c>
      <c r="I95" s="4"/>
      <c r="J95" s="4"/>
      <c r="K95" s="4">
        <v>227</v>
      </c>
      <c r="L95" s="4">
        <v>6</v>
      </c>
      <c r="M95" s="4">
        <v>3</v>
      </c>
      <c r="N95" s="4" t="s">
        <v>3</v>
      </c>
      <c r="O95" s="4">
        <v>0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228</v>
      </c>
      <c r="F96" s="4">
        <f>ROUND(Source!AY88,O96)</f>
        <v>6014484</v>
      </c>
      <c r="G96" s="4" t="s">
        <v>125</v>
      </c>
      <c r="H96" s="4" t="s">
        <v>126</v>
      </c>
      <c r="I96" s="4"/>
      <c r="J96" s="4"/>
      <c r="K96" s="4">
        <v>228</v>
      </c>
      <c r="L96" s="4">
        <v>7</v>
      </c>
      <c r="M96" s="4">
        <v>3</v>
      </c>
      <c r="N96" s="4" t="s">
        <v>3</v>
      </c>
      <c r="O96" s="4">
        <v>0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ROUND(Source!AP88,O97)</f>
        <v>0</v>
      </c>
      <c r="G97" s="4" t="s">
        <v>127</v>
      </c>
      <c r="H97" s="4" t="s">
        <v>128</v>
      </c>
      <c r="I97" s="4"/>
      <c r="J97" s="4"/>
      <c r="K97" s="4">
        <v>216</v>
      </c>
      <c r="L97" s="4">
        <v>8</v>
      </c>
      <c r="M97" s="4">
        <v>3</v>
      </c>
      <c r="N97" s="4" t="s">
        <v>3</v>
      </c>
      <c r="O97" s="4">
        <v>0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ROUND(Source!AQ88,O98)</f>
        <v>0</v>
      </c>
      <c r="G98" s="4" t="s">
        <v>129</v>
      </c>
      <c r="H98" s="4" t="s">
        <v>130</v>
      </c>
      <c r="I98" s="4"/>
      <c r="J98" s="4"/>
      <c r="K98" s="4">
        <v>223</v>
      </c>
      <c r="L98" s="4">
        <v>9</v>
      </c>
      <c r="M98" s="4">
        <v>3</v>
      </c>
      <c r="N98" s="4" t="s">
        <v>3</v>
      </c>
      <c r="O98" s="4">
        <v>0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229</v>
      </c>
      <c r="F99" s="4">
        <f>ROUND(Source!AZ88,O99)</f>
        <v>0</v>
      </c>
      <c r="G99" s="4" t="s">
        <v>131</v>
      </c>
      <c r="H99" s="4" t="s">
        <v>132</v>
      </c>
      <c r="I99" s="4"/>
      <c r="J99" s="4"/>
      <c r="K99" s="4">
        <v>229</v>
      </c>
      <c r="L99" s="4">
        <v>10</v>
      </c>
      <c r="M99" s="4">
        <v>3</v>
      </c>
      <c r="N99" s="4" t="s">
        <v>3</v>
      </c>
      <c r="O99" s="4">
        <v>0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203</v>
      </c>
      <c r="F100" s="4">
        <f>ROUND(Source!Q88,O100)</f>
        <v>15071</v>
      </c>
      <c r="G100" s="4" t="s">
        <v>133</v>
      </c>
      <c r="H100" s="4" t="s">
        <v>134</v>
      </c>
      <c r="I100" s="4"/>
      <c r="J100" s="4"/>
      <c r="K100" s="4">
        <v>203</v>
      </c>
      <c r="L100" s="4">
        <v>11</v>
      </c>
      <c r="M100" s="4">
        <v>3</v>
      </c>
      <c r="N100" s="4" t="s">
        <v>3</v>
      </c>
      <c r="O100" s="4">
        <v>0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204</v>
      </c>
      <c r="F101" s="4">
        <f>ROUND(Source!R88,O101)</f>
        <v>0</v>
      </c>
      <c r="G101" s="4" t="s">
        <v>135</v>
      </c>
      <c r="H101" s="4" t="s">
        <v>136</v>
      </c>
      <c r="I101" s="4"/>
      <c r="J101" s="4"/>
      <c r="K101" s="4">
        <v>204</v>
      </c>
      <c r="L101" s="4">
        <v>12</v>
      </c>
      <c r="M101" s="4">
        <v>3</v>
      </c>
      <c r="N101" s="4" t="s">
        <v>3</v>
      </c>
      <c r="O101" s="4">
        <v>0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205</v>
      </c>
      <c r="F102" s="4">
        <f>ROUND(Source!S88,O102)</f>
        <v>316851</v>
      </c>
      <c r="G102" s="4" t="s">
        <v>137</v>
      </c>
      <c r="H102" s="4" t="s">
        <v>138</v>
      </c>
      <c r="I102" s="4"/>
      <c r="J102" s="4"/>
      <c r="K102" s="4">
        <v>205</v>
      </c>
      <c r="L102" s="4">
        <v>13</v>
      </c>
      <c r="M102" s="4">
        <v>3</v>
      </c>
      <c r="N102" s="4" t="s">
        <v>3</v>
      </c>
      <c r="O102" s="4">
        <v>0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214</v>
      </c>
      <c r="F103" s="4">
        <f>ROUND(Source!AS88,O103)</f>
        <v>6857872</v>
      </c>
      <c r="G103" s="4" t="s">
        <v>139</v>
      </c>
      <c r="H103" s="4" t="s">
        <v>140</v>
      </c>
      <c r="I103" s="4"/>
      <c r="J103" s="4"/>
      <c r="K103" s="4">
        <v>214</v>
      </c>
      <c r="L103" s="4">
        <v>14</v>
      </c>
      <c r="M103" s="4">
        <v>3</v>
      </c>
      <c r="N103" s="4" t="s">
        <v>3</v>
      </c>
      <c r="O103" s="4">
        <v>0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215</v>
      </c>
      <c r="F104" s="4">
        <f>ROUND(Source!AT88,O104)</f>
        <v>0</v>
      </c>
      <c r="G104" s="4" t="s">
        <v>141</v>
      </c>
      <c r="H104" s="4" t="s">
        <v>142</v>
      </c>
      <c r="I104" s="4"/>
      <c r="J104" s="4"/>
      <c r="K104" s="4">
        <v>215</v>
      </c>
      <c r="L104" s="4">
        <v>15</v>
      </c>
      <c r="M104" s="4">
        <v>3</v>
      </c>
      <c r="N104" s="4" t="s">
        <v>3</v>
      </c>
      <c r="O104" s="4">
        <v>0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217</v>
      </c>
      <c r="F105" s="4">
        <f>ROUND(Source!AU88,O105)</f>
        <v>0</v>
      </c>
      <c r="G105" s="4" t="s">
        <v>143</v>
      </c>
      <c r="H105" s="4" t="s">
        <v>144</v>
      </c>
      <c r="I105" s="4"/>
      <c r="J105" s="4"/>
      <c r="K105" s="4">
        <v>217</v>
      </c>
      <c r="L105" s="4">
        <v>16</v>
      </c>
      <c r="M105" s="4">
        <v>3</v>
      </c>
      <c r="N105" s="4" t="s">
        <v>3</v>
      </c>
      <c r="O105" s="4">
        <v>0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206</v>
      </c>
      <c r="F106" s="4">
        <f>ROUND(Source!T88,O106)</f>
        <v>0</v>
      </c>
      <c r="G106" s="4" t="s">
        <v>145</v>
      </c>
      <c r="H106" s="4" t="s">
        <v>146</v>
      </c>
      <c r="I106" s="4"/>
      <c r="J106" s="4"/>
      <c r="K106" s="4">
        <v>206</v>
      </c>
      <c r="L106" s="4">
        <v>17</v>
      </c>
      <c r="M106" s="4">
        <v>3</v>
      </c>
      <c r="N106" s="4" t="s">
        <v>3</v>
      </c>
      <c r="O106" s="4">
        <v>0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207</v>
      </c>
      <c r="F107" s="4">
        <f>Source!U88</f>
        <v>2434.73828</v>
      </c>
      <c r="G107" s="4" t="s">
        <v>147</v>
      </c>
      <c r="H107" s="4" t="s">
        <v>148</v>
      </c>
      <c r="I107" s="4"/>
      <c r="J107" s="4"/>
      <c r="K107" s="4">
        <v>207</v>
      </c>
      <c r="L107" s="4">
        <v>18</v>
      </c>
      <c r="M107" s="4">
        <v>3</v>
      </c>
      <c r="N107" s="4" t="s">
        <v>3</v>
      </c>
      <c r="O107" s="4">
        <v>-1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208</v>
      </c>
      <c r="F108" s="4">
        <f>Source!V88</f>
        <v>4.4639999999999995</v>
      </c>
      <c r="G108" s="4" t="s">
        <v>149</v>
      </c>
      <c r="H108" s="4" t="s">
        <v>150</v>
      </c>
      <c r="I108" s="4"/>
      <c r="J108" s="4"/>
      <c r="K108" s="4">
        <v>208</v>
      </c>
      <c r="L108" s="4">
        <v>19</v>
      </c>
      <c r="M108" s="4">
        <v>3</v>
      </c>
      <c r="N108" s="4" t="s">
        <v>3</v>
      </c>
      <c r="O108" s="4">
        <v>-1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209</v>
      </c>
      <c r="F109" s="4">
        <f>ROUND(Source!W88,O109)</f>
        <v>0</v>
      </c>
      <c r="G109" s="4" t="s">
        <v>151</v>
      </c>
      <c r="H109" s="4" t="s">
        <v>152</v>
      </c>
      <c r="I109" s="4"/>
      <c r="J109" s="4"/>
      <c r="K109" s="4">
        <v>209</v>
      </c>
      <c r="L109" s="4">
        <v>20</v>
      </c>
      <c r="M109" s="4">
        <v>3</v>
      </c>
      <c r="N109" s="4" t="s">
        <v>3</v>
      </c>
      <c r="O109" s="4">
        <v>0</v>
      </c>
      <c r="P109" s="4"/>
    </row>
    <row r="110" spans="1:16" ht="12.75">
      <c r="A110" s="4">
        <v>50</v>
      </c>
      <c r="B110" s="4">
        <v>0</v>
      </c>
      <c r="C110" s="4">
        <v>0</v>
      </c>
      <c r="D110" s="4">
        <v>1</v>
      </c>
      <c r="E110" s="4">
        <v>210</v>
      </c>
      <c r="F110" s="4">
        <f>ROUND(Source!X88,O110)</f>
        <v>331593</v>
      </c>
      <c r="G110" s="4" t="s">
        <v>153</v>
      </c>
      <c r="H110" s="4" t="s">
        <v>154</v>
      </c>
      <c r="I110" s="4"/>
      <c r="J110" s="4"/>
      <c r="K110" s="4">
        <v>210</v>
      </c>
      <c r="L110" s="4">
        <v>21</v>
      </c>
      <c r="M110" s="4">
        <v>3</v>
      </c>
      <c r="N110" s="4" t="s">
        <v>3</v>
      </c>
      <c r="O110" s="4">
        <v>0</v>
      </c>
      <c r="P110" s="4"/>
    </row>
    <row r="111" spans="1:16" ht="12.75">
      <c r="A111" s="4">
        <v>50</v>
      </c>
      <c r="B111" s="4">
        <v>0</v>
      </c>
      <c r="C111" s="4">
        <v>0</v>
      </c>
      <c r="D111" s="4">
        <v>1</v>
      </c>
      <c r="E111" s="4">
        <v>211</v>
      </c>
      <c r="F111" s="4">
        <f>ROUND(Source!Y88,O111)</f>
        <v>179873</v>
      </c>
      <c r="G111" s="4" t="s">
        <v>155</v>
      </c>
      <c r="H111" s="4" t="s">
        <v>156</v>
      </c>
      <c r="I111" s="4"/>
      <c r="J111" s="4"/>
      <c r="K111" s="4">
        <v>211</v>
      </c>
      <c r="L111" s="4">
        <v>22</v>
      </c>
      <c r="M111" s="4">
        <v>3</v>
      </c>
      <c r="N111" s="4" t="s">
        <v>3</v>
      </c>
      <c r="O111" s="4">
        <v>0</v>
      </c>
      <c r="P111" s="4"/>
    </row>
    <row r="112" spans="1:16" ht="12.75">
      <c r="A112" s="4">
        <v>50</v>
      </c>
      <c r="B112" s="4">
        <v>0</v>
      </c>
      <c r="C112" s="4">
        <v>0</v>
      </c>
      <c r="D112" s="4">
        <v>1</v>
      </c>
      <c r="E112" s="4">
        <v>224</v>
      </c>
      <c r="F112" s="4">
        <f>ROUND(Source!AR88,O112)</f>
        <v>6857872</v>
      </c>
      <c r="G112" s="4" t="s">
        <v>157</v>
      </c>
      <c r="H112" s="4" t="s">
        <v>158</v>
      </c>
      <c r="I112" s="4"/>
      <c r="J112" s="4"/>
      <c r="K112" s="4">
        <v>224</v>
      </c>
      <c r="L112" s="4">
        <v>23</v>
      </c>
      <c r="M112" s="4">
        <v>3</v>
      </c>
      <c r="N112" s="4" t="s">
        <v>3</v>
      </c>
      <c r="O112" s="4">
        <v>0</v>
      </c>
      <c r="P112" s="4"/>
    </row>
    <row r="113" spans="1:16" ht="12.75">
      <c r="A113" s="4">
        <v>50</v>
      </c>
      <c r="B113" s="4">
        <v>1</v>
      </c>
      <c r="C113" s="4">
        <v>0</v>
      </c>
      <c r="D113" s="4">
        <v>2</v>
      </c>
      <c r="E113" s="4">
        <v>0</v>
      </c>
      <c r="F113" s="4">
        <f>ROUND(F100+F102+F110+F111,O113)</f>
        <v>843388</v>
      </c>
      <c r="G113" s="4" t="s">
        <v>159</v>
      </c>
      <c r="H113" s="4" t="s">
        <v>160</v>
      </c>
      <c r="I113" s="4"/>
      <c r="J113" s="4"/>
      <c r="K113" s="4">
        <v>212</v>
      </c>
      <c r="L113" s="4">
        <v>24</v>
      </c>
      <c r="M113" s="4">
        <v>0</v>
      </c>
      <c r="N113" s="4" t="s">
        <v>3</v>
      </c>
      <c r="O113" s="4">
        <v>0</v>
      </c>
      <c r="P113" s="4"/>
    </row>
    <row r="114" spans="1:16" ht="12.75">
      <c r="A114" s="4">
        <v>50</v>
      </c>
      <c r="B114" s="4">
        <v>1</v>
      </c>
      <c r="C114" s="4">
        <v>0</v>
      </c>
      <c r="D114" s="4">
        <v>2</v>
      </c>
      <c r="E114" s="4">
        <v>0</v>
      </c>
      <c r="F114" s="4">
        <f>ROUND(F113*1.15,O114)</f>
        <v>969896</v>
      </c>
      <c r="G114" s="4" t="s">
        <v>161</v>
      </c>
      <c r="H114" s="4" t="s">
        <v>162</v>
      </c>
      <c r="I114" s="4"/>
      <c r="J114" s="4"/>
      <c r="K114" s="4">
        <v>212</v>
      </c>
      <c r="L114" s="4">
        <v>25</v>
      </c>
      <c r="M114" s="4">
        <v>0</v>
      </c>
      <c r="N114" s="4" t="s">
        <v>3</v>
      </c>
      <c r="O114" s="4">
        <v>0</v>
      </c>
      <c r="P114" s="4"/>
    </row>
    <row r="115" spans="1:16" ht="12.75">
      <c r="A115" s="4">
        <v>50</v>
      </c>
      <c r="B115" s="4">
        <v>1</v>
      </c>
      <c r="C115" s="4">
        <v>0</v>
      </c>
      <c r="D115" s="4">
        <v>2</v>
      </c>
      <c r="E115" s="4">
        <v>0</v>
      </c>
      <c r="F115" s="4">
        <f>ROUND(F100*1.15,O115)</f>
        <v>17332</v>
      </c>
      <c r="G115" s="4" t="s">
        <v>163</v>
      </c>
      <c r="H115" s="4" t="s">
        <v>164</v>
      </c>
      <c r="I115" s="4"/>
      <c r="J115" s="4"/>
      <c r="K115" s="4">
        <v>212</v>
      </c>
      <c r="L115" s="4">
        <v>26</v>
      </c>
      <c r="M115" s="4">
        <v>0</v>
      </c>
      <c r="N115" s="4" t="s">
        <v>3</v>
      </c>
      <c r="O115" s="4">
        <v>0</v>
      </c>
      <c r="P115" s="4"/>
    </row>
    <row r="116" spans="1:16" ht="12.75">
      <c r="A116" s="4">
        <v>50</v>
      </c>
      <c r="B116" s="4">
        <v>1</v>
      </c>
      <c r="C116" s="4">
        <v>0</v>
      </c>
      <c r="D116" s="4">
        <v>2</v>
      </c>
      <c r="E116" s="4">
        <v>0</v>
      </c>
      <c r="F116" s="4">
        <f>ROUND(F102*1.15,O116)</f>
        <v>364379</v>
      </c>
      <c r="G116" s="4" t="s">
        <v>165</v>
      </c>
      <c r="H116" s="4" t="s">
        <v>166</v>
      </c>
      <c r="I116" s="4"/>
      <c r="J116" s="4"/>
      <c r="K116" s="4">
        <v>212</v>
      </c>
      <c r="L116" s="4">
        <v>27</v>
      </c>
      <c r="M116" s="4">
        <v>0</v>
      </c>
      <c r="N116" s="4" t="s">
        <v>3</v>
      </c>
      <c r="O116" s="4">
        <v>0</v>
      </c>
      <c r="P116" s="4"/>
    </row>
    <row r="117" spans="1:16" ht="12.75">
      <c r="A117" s="4">
        <v>50</v>
      </c>
      <c r="B117" s="4">
        <v>1</v>
      </c>
      <c r="C117" s="4">
        <v>0</v>
      </c>
      <c r="D117" s="4">
        <v>2</v>
      </c>
      <c r="E117" s="4">
        <v>0</v>
      </c>
      <c r="F117" s="4">
        <f>ROUND(F110*1.15,O117)</f>
        <v>381332</v>
      </c>
      <c r="G117" s="4" t="s">
        <v>167</v>
      </c>
      <c r="H117" s="4" t="s">
        <v>168</v>
      </c>
      <c r="I117" s="4"/>
      <c r="J117" s="4"/>
      <c r="K117" s="4">
        <v>212</v>
      </c>
      <c r="L117" s="4">
        <v>28</v>
      </c>
      <c r="M117" s="4">
        <v>0</v>
      </c>
      <c r="N117" s="4" t="s">
        <v>3</v>
      </c>
      <c r="O117" s="4">
        <v>0</v>
      </c>
      <c r="P117" s="4"/>
    </row>
    <row r="118" spans="1:16" ht="12.75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ROUND(F111*1.15,O118)</f>
        <v>206854</v>
      </c>
      <c r="G118" s="4" t="s">
        <v>169</v>
      </c>
      <c r="H118" s="4" t="s">
        <v>170</v>
      </c>
      <c r="I118" s="4"/>
      <c r="J118" s="4"/>
      <c r="K118" s="4">
        <v>212</v>
      </c>
      <c r="L118" s="4">
        <v>29</v>
      </c>
      <c r="M118" s="4">
        <v>0</v>
      </c>
      <c r="N118" s="4" t="s">
        <v>3</v>
      </c>
      <c r="O118" s="4">
        <v>0</v>
      </c>
      <c r="P118" s="4"/>
    </row>
    <row r="119" spans="1:16" ht="12.75">
      <c r="A119" s="4">
        <v>50</v>
      </c>
      <c r="B119" s="4">
        <v>1</v>
      </c>
      <c r="C119" s="4">
        <v>0</v>
      </c>
      <c r="D119" s="4">
        <v>2</v>
      </c>
      <c r="E119" s="4">
        <v>0</v>
      </c>
      <c r="F119" s="4">
        <f>ROUND(F91*0.07,O119)</f>
        <v>421014</v>
      </c>
      <c r="G119" s="4" t="s">
        <v>171</v>
      </c>
      <c r="H119" s="4" t="s">
        <v>172</v>
      </c>
      <c r="I119" s="4"/>
      <c r="J119" s="4"/>
      <c r="K119" s="4">
        <v>212</v>
      </c>
      <c r="L119" s="4">
        <v>30</v>
      </c>
      <c r="M119" s="4">
        <v>0</v>
      </c>
      <c r="N119" s="4" t="s">
        <v>3</v>
      </c>
      <c r="O119" s="4">
        <v>0</v>
      </c>
      <c r="P119" s="4"/>
    </row>
    <row r="120" spans="1:16" ht="12.75">
      <c r="A120" s="4">
        <v>50</v>
      </c>
      <c r="B120" s="4">
        <v>1</v>
      </c>
      <c r="C120" s="4">
        <v>0</v>
      </c>
      <c r="D120" s="4">
        <v>2</v>
      </c>
      <c r="E120" s="4">
        <v>0</v>
      </c>
      <c r="F120" s="4">
        <f>ROUND(F114+F91+F119,O120)</f>
        <v>7405394</v>
      </c>
      <c r="G120" s="4" t="s">
        <v>173</v>
      </c>
      <c r="H120" s="4" t="s">
        <v>174</v>
      </c>
      <c r="I120" s="4"/>
      <c r="J120" s="4"/>
      <c r="K120" s="4">
        <v>212</v>
      </c>
      <c r="L120" s="4">
        <v>31</v>
      </c>
      <c r="M120" s="4">
        <v>0</v>
      </c>
      <c r="N120" s="4" t="s">
        <v>3</v>
      </c>
      <c r="O120" s="4">
        <v>0</v>
      </c>
      <c r="P120" s="4"/>
    </row>
    <row r="121" spans="1:16" ht="12.75">
      <c r="A121" s="4">
        <v>50</v>
      </c>
      <c r="B121" s="4">
        <v>1</v>
      </c>
      <c r="C121" s="4">
        <v>0</v>
      </c>
      <c r="D121" s="4">
        <v>2</v>
      </c>
      <c r="E121" s="4">
        <v>0</v>
      </c>
      <c r="F121" s="4">
        <f>ROUND(F120*0.18,O121)</f>
        <v>1332971</v>
      </c>
      <c r="G121" s="4" t="s">
        <v>175</v>
      </c>
      <c r="H121" s="4" t="s">
        <v>176</v>
      </c>
      <c r="I121" s="4"/>
      <c r="J121" s="4"/>
      <c r="K121" s="4">
        <v>212</v>
      </c>
      <c r="L121" s="4">
        <v>32</v>
      </c>
      <c r="M121" s="4">
        <v>0</v>
      </c>
      <c r="N121" s="4" t="s">
        <v>3</v>
      </c>
      <c r="O121" s="4">
        <v>0</v>
      </c>
      <c r="P121" s="4"/>
    </row>
    <row r="122" spans="1:16" ht="12.75">
      <c r="A122" s="4">
        <v>50</v>
      </c>
      <c r="B122" s="4">
        <v>1</v>
      </c>
      <c r="C122" s="4">
        <v>0</v>
      </c>
      <c r="D122" s="4">
        <v>2</v>
      </c>
      <c r="E122" s="4">
        <v>0</v>
      </c>
      <c r="F122" s="4">
        <f>ROUND(F120+F121,O122)</f>
        <v>8738365</v>
      </c>
      <c r="G122" s="4" t="s">
        <v>177</v>
      </c>
      <c r="H122" s="4" t="s">
        <v>178</v>
      </c>
      <c r="I122" s="4"/>
      <c r="J122" s="4"/>
      <c r="K122" s="4">
        <v>212</v>
      </c>
      <c r="L122" s="4">
        <v>33</v>
      </c>
      <c r="M122" s="4">
        <v>0</v>
      </c>
      <c r="N122" s="4" t="s">
        <v>3</v>
      </c>
      <c r="O122" s="4">
        <v>0</v>
      </c>
      <c r="P122" s="4"/>
    </row>
    <row r="124" spans="1:118" ht="12.75">
      <c r="A124" s="2">
        <v>51</v>
      </c>
      <c r="B124" s="2">
        <f>B12</f>
        <v>175</v>
      </c>
      <c r="C124" s="2">
        <f>A12</f>
        <v>1</v>
      </c>
      <c r="D124" s="2">
        <f>ROW(A12)</f>
        <v>12</v>
      </c>
      <c r="E124" s="2"/>
      <c r="F124" s="2" t="str">
        <f>IF(F12&lt;&gt;"",F12,"")</f>
        <v>Новый объект</v>
      </c>
      <c r="G124" s="2" t="str">
        <f>IF(G12&lt;&gt;"",G12,"")</f>
        <v>помещение 1113 кровля вариант2</v>
      </c>
      <c r="H124" s="2"/>
      <c r="I124" s="2"/>
      <c r="J124" s="2"/>
      <c r="K124" s="2"/>
      <c r="L124" s="2"/>
      <c r="M124" s="2"/>
      <c r="N124" s="2"/>
      <c r="O124" s="2">
        <f aca="true" t="shared" si="83" ref="O124:T124">ROUND(O38+O88,0)</f>
        <v>8344653</v>
      </c>
      <c r="P124" s="2">
        <f t="shared" si="83"/>
        <v>7799899</v>
      </c>
      <c r="Q124" s="2">
        <f t="shared" si="83"/>
        <v>38396</v>
      </c>
      <c r="R124" s="2">
        <f t="shared" si="83"/>
        <v>0</v>
      </c>
      <c r="S124" s="2">
        <f t="shared" si="83"/>
        <v>506358</v>
      </c>
      <c r="T124" s="2">
        <f t="shared" si="83"/>
        <v>0</v>
      </c>
      <c r="U124" s="2">
        <f>U38+U88</f>
        <v>3898.793382</v>
      </c>
      <c r="V124" s="2">
        <f>V38+V88</f>
        <v>18.613399999999995</v>
      </c>
      <c r="W124" s="2">
        <f>ROUND(W38+W88,0)</f>
        <v>0</v>
      </c>
      <c r="X124" s="2">
        <f>ROUND(X38+X88,0)</f>
        <v>527899</v>
      </c>
      <c r="Y124" s="2">
        <f>ROUND(Y38+Y88,0)</f>
        <v>291169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>
        <f aca="true" t="shared" si="84" ref="AO124:AZ124">ROUND(AO38+AO88,0)</f>
        <v>0</v>
      </c>
      <c r="AP124" s="2">
        <f t="shared" si="84"/>
        <v>0</v>
      </c>
      <c r="AQ124" s="2">
        <f t="shared" si="84"/>
        <v>0</v>
      </c>
      <c r="AR124" s="2">
        <f t="shared" si="84"/>
        <v>9163721</v>
      </c>
      <c r="AS124" s="2">
        <f t="shared" si="84"/>
        <v>9163721</v>
      </c>
      <c r="AT124" s="2">
        <f t="shared" si="84"/>
        <v>0</v>
      </c>
      <c r="AU124" s="2">
        <f t="shared" si="84"/>
        <v>0</v>
      </c>
      <c r="AV124" s="2">
        <f t="shared" si="84"/>
        <v>7799899</v>
      </c>
      <c r="AW124" s="2">
        <f t="shared" si="84"/>
        <v>7799899</v>
      </c>
      <c r="AX124" s="2">
        <f t="shared" si="84"/>
        <v>0</v>
      </c>
      <c r="AY124" s="2">
        <f t="shared" si="84"/>
        <v>7799899</v>
      </c>
      <c r="AZ124" s="2">
        <f t="shared" si="84"/>
        <v>0</v>
      </c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>
        <v>0</v>
      </c>
    </row>
    <row r="126" spans="1:16" ht="12.75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8344653</v>
      </c>
      <c r="G126" s="4" t="s">
        <v>113</v>
      </c>
      <c r="H126" s="4" t="s">
        <v>114</v>
      </c>
      <c r="I126" s="4"/>
      <c r="J126" s="4"/>
      <c r="K126" s="4">
        <v>201</v>
      </c>
      <c r="L126" s="4">
        <v>1</v>
      </c>
      <c r="M126" s="4">
        <v>3</v>
      </c>
      <c r="N126" s="4" t="s">
        <v>3</v>
      </c>
      <c r="O126" s="4">
        <v>0</v>
      </c>
      <c r="P126" s="4"/>
    </row>
    <row r="127" spans="1:16" ht="12.75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7799899</v>
      </c>
      <c r="G127" s="4" t="s">
        <v>115</v>
      </c>
      <c r="H127" s="4" t="s">
        <v>116</v>
      </c>
      <c r="I127" s="4"/>
      <c r="J127" s="4"/>
      <c r="K127" s="4">
        <v>202</v>
      </c>
      <c r="L127" s="4">
        <v>2</v>
      </c>
      <c r="M127" s="4">
        <v>3</v>
      </c>
      <c r="N127" s="4" t="s">
        <v>3</v>
      </c>
      <c r="O127" s="4">
        <v>0</v>
      </c>
      <c r="P127" s="4"/>
    </row>
    <row r="128" spans="1:16" ht="12.75">
      <c r="A128" s="4">
        <v>50</v>
      </c>
      <c r="B128" s="4">
        <v>0</v>
      </c>
      <c r="C128" s="4">
        <v>0</v>
      </c>
      <c r="D128" s="4">
        <v>1</v>
      </c>
      <c r="E128" s="4">
        <v>0</v>
      </c>
      <c r="F128" s="4">
        <f>ROUND(Source!AO124,O128)</f>
        <v>0</v>
      </c>
      <c r="G128" s="4" t="s">
        <v>117</v>
      </c>
      <c r="H128" s="4" t="s">
        <v>118</v>
      </c>
      <c r="I128" s="4"/>
      <c r="J128" s="4"/>
      <c r="K128" s="4">
        <v>222</v>
      </c>
      <c r="L128" s="4">
        <v>3</v>
      </c>
      <c r="M128" s="4">
        <v>3</v>
      </c>
      <c r="N128" s="4" t="s">
        <v>3</v>
      </c>
      <c r="O128" s="4">
        <v>0</v>
      </c>
      <c r="P128" s="4"/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7799899</v>
      </c>
      <c r="G129" s="4" t="s">
        <v>119</v>
      </c>
      <c r="H129" s="4" t="s">
        <v>120</v>
      </c>
      <c r="I129" s="4"/>
      <c r="J129" s="4"/>
      <c r="K129" s="4">
        <v>225</v>
      </c>
      <c r="L129" s="4">
        <v>4</v>
      </c>
      <c r="M129" s="4">
        <v>3</v>
      </c>
      <c r="N129" s="4" t="s">
        <v>3</v>
      </c>
      <c r="O129" s="4">
        <v>0</v>
      </c>
      <c r="P129" s="4"/>
    </row>
    <row r="130" spans="1:16" ht="12.75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7799899</v>
      </c>
      <c r="G130" s="4" t="s">
        <v>121</v>
      </c>
      <c r="H130" s="4" t="s">
        <v>122</v>
      </c>
      <c r="I130" s="4"/>
      <c r="J130" s="4"/>
      <c r="K130" s="4">
        <v>226</v>
      </c>
      <c r="L130" s="4">
        <v>5</v>
      </c>
      <c r="M130" s="4">
        <v>3</v>
      </c>
      <c r="N130" s="4" t="s">
        <v>3</v>
      </c>
      <c r="O130" s="4">
        <v>0</v>
      </c>
      <c r="P130" s="4"/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123</v>
      </c>
      <c r="H131" s="4" t="s">
        <v>124</v>
      </c>
      <c r="I131" s="4"/>
      <c r="J131" s="4"/>
      <c r="K131" s="4">
        <v>227</v>
      </c>
      <c r="L131" s="4">
        <v>6</v>
      </c>
      <c r="M131" s="4">
        <v>3</v>
      </c>
      <c r="N131" s="4" t="s">
        <v>3</v>
      </c>
      <c r="O131" s="4">
        <v>0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7799899</v>
      </c>
      <c r="G132" s="4" t="s">
        <v>125</v>
      </c>
      <c r="H132" s="4" t="s">
        <v>126</v>
      </c>
      <c r="I132" s="4"/>
      <c r="J132" s="4"/>
      <c r="K132" s="4">
        <v>228</v>
      </c>
      <c r="L132" s="4">
        <v>7</v>
      </c>
      <c r="M132" s="4">
        <v>3</v>
      </c>
      <c r="N132" s="4" t="s">
        <v>3</v>
      </c>
      <c r="O132" s="4">
        <v>0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127</v>
      </c>
      <c r="H133" s="4" t="s">
        <v>128</v>
      </c>
      <c r="I133" s="4"/>
      <c r="J133" s="4"/>
      <c r="K133" s="4">
        <v>216</v>
      </c>
      <c r="L133" s="4">
        <v>8</v>
      </c>
      <c r="M133" s="4">
        <v>3</v>
      </c>
      <c r="N133" s="4" t="s">
        <v>3</v>
      </c>
      <c r="O133" s="4">
        <v>0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129</v>
      </c>
      <c r="H134" s="4" t="s">
        <v>130</v>
      </c>
      <c r="I134" s="4"/>
      <c r="J134" s="4"/>
      <c r="K134" s="4">
        <v>223</v>
      </c>
      <c r="L134" s="4">
        <v>9</v>
      </c>
      <c r="M134" s="4">
        <v>3</v>
      </c>
      <c r="N134" s="4" t="s">
        <v>3</v>
      </c>
      <c r="O134" s="4">
        <v>0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131</v>
      </c>
      <c r="H135" s="4" t="s">
        <v>132</v>
      </c>
      <c r="I135" s="4"/>
      <c r="J135" s="4"/>
      <c r="K135" s="4">
        <v>229</v>
      </c>
      <c r="L135" s="4">
        <v>10</v>
      </c>
      <c r="M135" s="4">
        <v>3</v>
      </c>
      <c r="N135" s="4" t="s">
        <v>3</v>
      </c>
      <c r="O135" s="4">
        <v>0</v>
      </c>
      <c r="P135" s="4"/>
    </row>
    <row r="136" spans="1:16" ht="12.75">
      <c r="A136" s="4">
        <v>50</v>
      </c>
      <c r="B136" s="4">
        <v>1</v>
      </c>
      <c r="C136" s="4">
        <v>0</v>
      </c>
      <c r="D136" s="4">
        <v>1</v>
      </c>
      <c r="E136" s="4">
        <v>203</v>
      </c>
      <c r="F136" s="4">
        <f>ROUND(Source!Q124,O136)</f>
        <v>38396</v>
      </c>
      <c r="G136" s="4" t="s">
        <v>133</v>
      </c>
      <c r="H136" s="4" t="s">
        <v>134</v>
      </c>
      <c r="I136" s="4"/>
      <c r="J136" s="4"/>
      <c r="K136" s="4">
        <v>203</v>
      </c>
      <c r="L136" s="4">
        <v>11</v>
      </c>
      <c r="M136" s="4">
        <v>0</v>
      </c>
      <c r="N136" s="4" t="s">
        <v>3</v>
      </c>
      <c r="O136" s="4">
        <v>0</v>
      </c>
      <c r="P136" s="4"/>
    </row>
    <row r="137" spans="1:16" ht="12.75">
      <c r="A137" s="4">
        <v>50</v>
      </c>
      <c r="B137" s="4">
        <v>0</v>
      </c>
      <c r="C137" s="4">
        <v>0</v>
      </c>
      <c r="D137" s="4">
        <v>1</v>
      </c>
      <c r="E137" s="4">
        <v>204</v>
      </c>
      <c r="F137" s="4">
        <f>ROUND(Source!R124,O137)</f>
        <v>0</v>
      </c>
      <c r="G137" s="4" t="s">
        <v>135</v>
      </c>
      <c r="H137" s="4" t="s">
        <v>136</v>
      </c>
      <c r="I137" s="4"/>
      <c r="J137" s="4"/>
      <c r="K137" s="4">
        <v>204</v>
      </c>
      <c r="L137" s="4">
        <v>12</v>
      </c>
      <c r="M137" s="4">
        <v>3</v>
      </c>
      <c r="N137" s="4" t="s">
        <v>3</v>
      </c>
      <c r="O137" s="4">
        <v>0</v>
      </c>
      <c r="P137" s="4"/>
    </row>
    <row r="138" spans="1:16" ht="12.75">
      <c r="A138" s="4">
        <v>50</v>
      </c>
      <c r="B138" s="4">
        <v>1</v>
      </c>
      <c r="C138" s="4">
        <v>0</v>
      </c>
      <c r="D138" s="4">
        <v>1</v>
      </c>
      <c r="E138" s="4">
        <v>205</v>
      </c>
      <c r="F138" s="4">
        <f>ROUND(Source!S124,O138)</f>
        <v>506358</v>
      </c>
      <c r="G138" s="4" t="s">
        <v>137</v>
      </c>
      <c r="H138" s="4" t="s">
        <v>138</v>
      </c>
      <c r="I138" s="4"/>
      <c r="J138" s="4"/>
      <c r="K138" s="4">
        <v>205</v>
      </c>
      <c r="L138" s="4">
        <v>13</v>
      </c>
      <c r="M138" s="4">
        <v>0</v>
      </c>
      <c r="N138" s="4" t="s">
        <v>3</v>
      </c>
      <c r="O138" s="4">
        <v>0</v>
      </c>
      <c r="P138" s="4"/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214</v>
      </c>
      <c r="F139" s="4">
        <f>ROUND(Source!AS124,O139)</f>
        <v>9163721</v>
      </c>
      <c r="G139" s="4" t="s">
        <v>139</v>
      </c>
      <c r="H139" s="4" t="s">
        <v>140</v>
      </c>
      <c r="I139" s="4"/>
      <c r="J139" s="4"/>
      <c r="K139" s="4">
        <v>214</v>
      </c>
      <c r="L139" s="4">
        <v>14</v>
      </c>
      <c r="M139" s="4">
        <v>3</v>
      </c>
      <c r="N139" s="4" t="s">
        <v>3</v>
      </c>
      <c r="O139" s="4">
        <v>0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215</v>
      </c>
      <c r="F140" s="4">
        <f>ROUND(Source!AT124,O140)</f>
        <v>0</v>
      </c>
      <c r="G140" s="4" t="s">
        <v>141</v>
      </c>
      <c r="H140" s="4" t="s">
        <v>142</v>
      </c>
      <c r="I140" s="4"/>
      <c r="J140" s="4"/>
      <c r="K140" s="4">
        <v>215</v>
      </c>
      <c r="L140" s="4">
        <v>15</v>
      </c>
      <c r="M140" s="4">
        <v>3</v>
      </c>
      <c r="N140" s="4" t="s">
        <v>3</v>
      </c>
      <c r="O140" s="4">
        <v>0</v>
      </c>
      <c r="P140" s="4"/>
    </row>
    <row r="141" spans="1:16" ht="12.75">
      <c r="A141" s="4">
        <v>50</v>
      </c>
      <c r="B141" s="4">
        <v>0</v>
      </c>
      <c r="C141" s="4">
        <v>0</v>
      </c>
      <c r="D141" s="4">
        <v>1</v>
      </c>
      <c r="E141" s="4">
        <v>217</v>
      </c>
      <c r="F141" s="4">
        <f>ROUND(Source!AU124,O141)</f>
        <v>0</v>
      </c>
      <c r="G141" s="4" t="s">
        <v>143</v>
      </c>
      <c r="H141" s="4" t="s">
        <v>144</v>
      </c>
      <c r="I141" s="4"/>
      <c r="J141" s="4"/>
      <c r="K141" s="4">
        <v>217</v>
      </c>
      <c r="L141" s="4">
        <v>16</v>
      </c>
      <c r="M141" s="4">
        <v>3</v>
      </c>
      <c r="N141" s="4" t="s">
        <v>3</v>
      </c>
      <c r="O141" s="4">
        <v>0</v>
      </c>
      <c r="P141" s="4"/>
    </row>
    <row r="142" spans="1:16" ht="12.75">
      <c r="A142" s="4">
        <v>50</v>
      </c>
      <c r="B142" s="4">
        <v>0</v>
      </c>
      <c r="C142" s="4">
        <v>0</v>
      </c>
      <c r="D142" s="4">
        <v>1</v>
      </c>
      <c r="E142" s="4">
        <v>206</v>
      </c>
      <c r="F142" s="4">
        <f>ROUND(Source!T124,O142)</f>
        <v>0</v>
      </c>
      <c r="G142" s="4" t="s">
        <v>145</v>
      </c>
      <c r="H142" s="4" t="s">
        <v>146</v>
      </c>
      <c r="I142" s="4"/>
      <c r="J142" s="4"/>
      <c r="K142" s="4">
        <v>206</v>
      </c>
      <c r="L142" s="4">
        <v>17</v>
      </c>
      <c r="M142" s="4">
        <v>3</v>
      </c>
      <c r="N142" s="4" t="s">
        <v>3</v>
      </c>
      <c r="O142" s="4">
        <v>0</v>
      </c>
      <c r="P142" s="4"/>
    </row>
    <row r="143" spans="1:16" ht="12.75">
      <c r="A143" s="4">
        <v>50</v>
      </c>
      <c r="B143" s="4">
        <v>0</v>
      </c>
      <c r="C143" s="4">
        <v>0</v>
      </c>
      <c r="D143" s="4">
        <v>1</v>
      </c>
      <c r="E143" s="4">
        <v>207</v>
      </c>
      <c r="F143" s="4">
        <f>Source!U124</f>
        <v>3898.793382</v>
      </c>
      <c r="G143" s="4" t="s">
        <v>147</v>
      </c>
      <c r="H143" s="4" t="s">
        <v>148</v>
      </c>
      <c r="I143" s="4"/>
      <c r="J143" s="4"/>
      <c r="K143" s="4">
        <v>207</v>
      </c>
      <c r="L143" s="4">
        <v>18</v>
      </c>
      <c r="M143" s="4">
        <v>3</v>
      </c>
      <c r="N143" s="4" t="s">
        <v>3</v>
      </c>
      <c r="O143" s="4">
        <v>-1</v>
      </c>
      <c r="P143" s="4"/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208</v>
      </c>
      <c r="F144" s="4">
        <f>Source!V124</f>
        <v>18.613399999999995</v>
      </c>
      <c r="G144" s="4" t="s">
        <v>149</v>
      </c>
      <c r="H144" s="4" t="s">
        <v>150</v>
      </c>
      <c r="I144" s="4"/>
      <c r="J144" s="4"/>
      <c r="K144" s="4">
        <v>208</v>
      </c>
      <c r="L144" s="4">
        <v>19</v>
      </c>
      <c r="M144" s="4">
        <v>3</v>
      </c>
      <c r="N144" s="4" t="s">
        <v>3</v>
      </c>
      <c r="O144" s="4">
        <v>-1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209</v>
      </c>
      <c r="F145" s="4">
        <f>ROUND(Source!W124,O145)</f>
        <v>0</v>
      </c>
      <c r="G145" s="4" t="s">
        <v>151</v>
      </c>
      <c r="H145" s="4" t="s">
        <v>152</v>
      </c>
      <c r="I145" s="4"/>
      <c r="J145" s="4"/>
      <c r="K145" s="4">
        <v>209</v>
      </c>
      <c r="L145" s="4">
        <v>20</v>
      </c>
      <c r="M145" s="4">
        <v>3</v>
      </c>
      <c r="N145" s="4" t="s">
        <v>3</v>
      </c>
      <c r="O145" s="4">
        <v>0</v>
      </c>
      <c r="P145" s="4"/>
    </row>
    <row r="146" spans="1:16" ht="12.75">
      <c r="A146" s="4">
        <v>50</v>
      </c>
      <c r="B146" s="4">
        <v>1</v>
      </c>
      <c r="C146" s="4">
        <v>0</v>
      </c>
      <c r="D146" s="4">
        <v>1</v>
      </c>
      <c r="E146" s="4">
        <v>210</v>
      </c>
      <c r="F146" s="4">
        <f>ROUND(Source!X124,O146)</f>
        <v>527899</v>
      </c>
      <c r="G146" s="4" t="s">
        <v>153</v>
      </c>
      <c r="H146" s="4" t="s">
        <v>154</v>
      </c>
      <c r="I146" s="4"/>
      <c r="J146" s="4"/>
      <c r="K146" s="4">
        <v>210</v>
      </c>
      <c r="L146" s="4">
        <v>21</v>
      </c>
      <c r="M146" s="4">
        <v>0</v>
      </c>
      <c r="N146" s="4" t="s">
        <v>3</v>
      </c>
      <c r="O146" s="4">
        <v>0</v>
      </c>
      <c r="P146" s="4"/>
    </row>
    <row r="147" spans="1:16" ht="12.75">
      <c r="A147" s="4">
        <v>50</v>
      </c>
      <c r="B147" s="4">
        <v>1</v>
      </c>
      <c r="C147" s="4">
        <v>0</v>
      </c>
      <c r="D147" s="4">
        <v>1</v>
      </c>
      <c r="E147" s="4">
        <v>211</v>
      </c>
      <c r="F147" s="4">
        <f>ROUND(Source!Y124,O147)</f>
        <v>291169</v>
      </c>
      <c r="G147" s="4" t="s">
        <v>155</v>
      </c>
      <c r="H147" s="4" t="s">
        <v>156</v>
      </c>
      <c r="I147" s="4"/>
      <c r="J147" s="4"/>
      <c r="K147" s="4">
        <v>211</v>
      </c>
      <c r="L147" s="4">
        <v>22</v>
      </c>
      <c r="M147" s="4">
        <v>0</v>
      </c>
      <c r="N147" s="4" t="s">
        <v>3</v>
      </c>
      <c r="O147" s="4">
        <v>0</v>
      </c>
      <c r="P147" s="4"/>
    </row>
    <row r="148" spans="1:16" ht="12.75">
      <c r="A148" s="4">
        <v>50</v>
      </c>
      <c r="B148" s="4">
        <v>0</v>
      </c>
      <c r="C148" s="4">
        <v>0</v>
      </c>
      <c r="D148" s="4">
        <v>1</v>
      </c>
      <c r="E148" s="4">
        <v>224</v>
      </c>
      <c r="F148" s="4">
        <f>ROUND(Source!AR124,O148)</f>
        <v>9163721</v>
      </c>
      <c r="G148" s="4" t="s">
        <v>157</v>
      </c>
      <c r="H148" s="4" t="s">
        <v>158</v>
      </c>
      <c r="I148" s="4"/>
      <c r="J148" s="4"/>
      <c r="K148" s="4">
        <v>224</v>
      </c>
      <c r="L148" s="4">
        <v>23</v>
      </c>
      <c r="M148" s="4">
        <v>3</v>
      </c>
      <c r="N148" s="4" t="s">
        <v>3</v>
      </c>
      <c r="O148" s="4">
        <v>0</v>
      </c>
      <c r="P148" s="4"/>
    </row>
    <row r="149" spans="1:16" ht="12.75">
      <c r="A149" s="4">
        <v>50</v>
      </c>
      <c r="B149" s="4">
        <v>1</v>
      </c>
      <c r="C149" s="4">
        <v>0</v>
      </c>
      <c r="D149" s="4">
        <v>2</v>
      </c>
      <c r="E149" s="4">
        <v>0</v>
      </c>
      <c r="F149" s="4">
        <f>ROUND(F147+F146+F138+F136,O149)</f>
        <v>1363822</v>
      </c>
      <c r="G149" s="4" t="s">
        <v>159</v>
      </c>
      <c r="H149" s="4" t="s">
        <v>160</v>
      </c>
      <c r="I149" s="4"/>
      <c r="J149" s="4"/>
      <c r="K149" s="4">
        <v>212</v>
      </c>
      <c r="L149" s="4">
        <v>24</v>
      </c>
      <c r="M149" s="4">
        <v>0</v>
      </c>
      <c r="N149" s="4" t="s">
        <v>3</v>
      </c>
      <c r="O149" s="4">
        <v>0</v>
      </c>
      <c r="P149" s="4"/>
    </row>
    <row r="150" spans="1:16" ht="12.75">
      <c r="A150" s="4">
        <v>50</v>
      </c>
      <c r="B150" s="4">
        <v>1</v>
      </c>
      <c r="C150" s="4">
        <v>0</v>
      </c>
      <c r="D150" s="4">
        <v>2</v>
      </c>
      <c r="E150" s="4">
        <v>0</v>
      </c>
      <c r="F150" s="4">
        <f>ROUND(F132,O150)</f>
        <v>7799899</v>
      </c>
      <c r="G150" s="4" t="s">
        <v>204</v>
      </c>
      <c r="H150" s="4" t="s">
        <v>205</v>
      </c>
      <c r="I150" s="4"/>
      <c r="J150" s="4"/>
      <c r="K150" s="4">
        <v>212</v>
      </c>
      <c r="L150" s="4">
        <v>25</v>
      </c>
      <c r="M150" s="4">
        <v>0</v>
      </c>
      <c r="N150" s="4" t="s">
        <v>3</v>
      </c>
      <c r="O150" s="4">
        <v>0</v>
      </c>
      <c r="P150" s="4"/>
    </row>
    <row r="151" spans="1:16" ht="12.75">
      <c r="A151" s="4">
        <v>50</v>
      </c>
      <c r="B151" s="4">
        <v>1</v>
      </c>
      <c r="C151" s="4">
        <v>0</v>
      </c>
      <c r="D151" s="4">
        <v>2</v>
      </c>
      <c r="E151" s="4">
        <v>0</v>
      </c>
      <c r="F151" s="4">
        <f>ROUND(F150*0.07,O151)</f>
        <v>545993</v>
      </c>
      <c r="G151" s="4" t="s">
        <v>171</v>
      </c>
      <c r="H151" s="4" t="s">
        <v>172</v>
      </c>
      <c r="I151" s="4"/>
      <c r="J151" s="4"/>
      <c r="K151" s="4">
        <v>212</v>
      </c>
      <c r="L151" s="4">
        <v>26</v>
      </c>
      <c r="M151" s="4">
        <v>0</v>
      </c>
      <c r="N151" s="4" t="s">
        <v>3</v>
      </c>
      <c r="O151" s="4">
        <v>0</v>
      </c>
      <c r="P151" s="4"/>
    </row>
    <row r="152" spans="1:16" ht="12.75">
      <c r="A152" s="4">
        <v>50</v>
      </c>
      <c r="B152" s="4">
        <v>1</v>
      </c>
      <c r="C152" s="4">
        <v>0</v>
      </c>
      <c r="D152" s="4">
        <v>2</v>
      </c>
      <c r="E152" s="4">
        <v>0</v>
      </c>
      <c r="F152" s="4">
        <f>ROUND(F149+F151+F150,O152)</f>
        <v>9709714</v>
      </c>
      <c r="G152" s="4" t="s">
        <v>177</v>
      </c>
      <c r="H152" s="4" t="s">
        <v>206</v>
      </c>
      <c r="I152" s="4"/>
      <c r="J152" s="4"/>
      <c r="K152" s="4">
        <v>212</v>
      </c>
      <c r="L152" s="4">
        <v>27</v>
      </c>
      <c r="M152" s="4">
        <v>0</v>
      </c>
      <c r="N152" s="4" t="s">
        <v>3</v>
      </c>
      <c r="O152" s="4">
        <v>0</v>
      </c>
      <c r="P152" s="4"/>
    </row>
    <row r="153" spans="1:16" ht="12.75">
      <c r="A153" s="4">
        <v>50</v>
      </c>
      <c r="B153" s="4">
        <v>1</v>
      </c>
      <c r="C153" s="4">
        <v>0</v>
      </c>
      <c r="D153" s="4">
        <v>2</v>
      </c>
      <c r="E153" s="4">
        <v>0</v>
      </c>
      <c r="F153" s="4">
        <f>ROUND(F152*0.18,O153)</f>
        <v>1747749</v>
      </c>
      <c r="G153" s="4" t="s">
        <v>175</v>
      </c>
      <c r="H153" s="4" t="s">
        <v>176</v>
      </c>
      <c r="I153" s="4"/>
      <c r="J153" s="4"/>
      <c r="K153" s="4">
        <v>212</v>
      </c>
      <c r="L153" s="4">
        <v>28</v>
      </c>
      <c r="M153" s="4">
        <v>0</v>
      </c>
      <c r="N153" s="4" t="s">
        <v>3</v>
      </c>
      <c r="O153" s="4">
        <v>0</v>
      </c>
      <c r="P153" s="4"/>
    </row>
    <row r="154" spans="1:16" ht="12.75">
      <c r="A154" s="4">
        <v>50</v>
      </c>
      <c r="B154" s="4">
        <v>1</v>
      </c>
      <c r="C154" s="4">
        <v>0</v>
      </c>
      <c r="D154" s="4">
        <v>2</v>
      </c>
      <c r="E154" s="4">
        <v>0</v>
      </c>
      <c r="F154" s="4">
        <f>ROUND(F152+F153,O154)</f>
        <v>11457463</v>
      </c>
      <c r="G154" s="4" t="s">
        <v>207</v>
      </c>
      <c r="H154" s="4" t="s">
        <v>208</v>
      </c>
      <c r="I154" s="4"/>
      <c r="J154" s="4"/>
      <c r="K154" s="4">
        <v>212</v>
      </c>
      <c r="L154" s="4">
        <v>29</v>
      </c>
      <c r="M154" s="4">
        <v>0</v>
      </c>
      <c r="N154" s="4" t="s">
        <v>3</v>
      </c>
      <c r="O154" s="4">
        <v>0</v>
      </c>
      <c r="P154" s="4"/>
    </row>
    <row r="157" spans="1:14" ht="12.75">
      <c r="A157">
        <v>70</v>
      </c>
      <c r="B157">
        <v>1</v>
      </c>
      <c r="D157">
        <v>1</v>
      </c>
      <c r="E157" t="s">
        <v>209</v>
      </c>
      <c r="F157" t="s">
        <v>210</v>
      </c>
      <c r="G157">
        <v>0</v>
      </c>
      <c r="H157">
        <v>0</v>
      </c>
      <c r="I157" t="s">
        <v>211</v>
      </c>
      <c r="J157">
        <v>0</v>
      </c>
      <c r="K157">
        <v>0</v>
      </c>
      <c r="N157">
        <v>0</v>
      </c>
    </row>
    <row r="158" spans="1:14" ht="12.75">
      <c r="A158">
        <v>70</v>
      </c>
      <c r="B158">
        <v>1</v>
      </c>
      <c r="D158">
        <v>2</v>
      </c>
      <c r="E158" t="s">
        <v>212</v>
      </c>
      <c r="F158" t="s">
        <v>213</v>
      </c>
      <c r="G158">
        <v>0</v>
      </c>
      <c r="H158">
        <v>1</v>
      </c>
      <c r="I158" t="s">
        <v>214</v>
      </c>
      <c r="J158">
        <v>0</v>
      </c>
      <c r="K158">
        <v>0</v>
      </c>
      <c r="N158">
        <v>0</v>
      </c>
    </row>
    <row r="159" spans="1:14" ht="12.75">
      <c r="A159">
        <v>70</v>
      </c>
      <c r="B159">
        <v>1</v>
      </c>
      <c r="D159">
        <v>3</v>
      </c>
      <c r="E159" t="s">
        <v>215</v>
      </c>
      <c r="F159" t="s">
        <v>216</v>
      </c>
      <c r="G159">
        <v>0</v>
      </c>
      <c r="H159">
        <v>0</v>
      </c>
      <c r="I159" t="s">
        <v>217</v>
      </c>
      <c r="J159">
        <v>0</v>
      </c>
      <c r="K159">
        <v>0</v>
      </c>
      <c r="N159">
        <v>0</v>
      </c>
    </row>
    <row r="160" spans="1:14" ht="12.75">
      <c r="A160">
        <v>70</v>
      </c>
      <c r="B160">
        <v>1</v>
      </c>
      <c r="D160">
        <v>4</v>
      </c>
      <c r="E160" t="s">
        <v>218</v>
      </c>
      <c r="F160" t="s">
        <v>219</v>
      </c>
      <c r="G160">
        <v>0</v>
      </c>
      <c r="H160">
        <v>0</v>
      </c>
      <c r="I160" t="s">
        <v>220</v>
      </c>
      <c r="J160">
        <v>0</v>
      </c>
      <c r="K160">
        <v>0</v>
      </c>
      <c r="N160">
        <v>0</v>
      </c>
    </row>
    <row r="161" spans="1:14" ht="12.75">
      <c r="A161">
        <v>70</v>
      </c>
      <c r="B161">
        <v>1</v>
      </c>
      <c r="D161">
        <v>5</v>
      </c>
      <c r="E161" t="s">
        <v>221</v>
      </c>
      <c r="F161" t="s">
        <v>222</v>
      </c>
      <c r="G161">
        <v>0</v>
      </c>
      <c r="H161">
        <v>1</v>
      </c>
      <c r="I161" t="s">
        <v>223</v>
      </c>
      <c r="J161">
        <v>0</v>
      </c>
      <c r="K161">
        <v>0</v>
      </c>
      <c r="N161">
        <v>0</v>
      </c>
    </row>
    <row r="162" spans="1:14" ht="12.75">
      <c r="A162">
        <v>70</v>
      </c>
      <c r="B162">
        <v>1</v>
      </c>
      <c r="D162">
        <v>6</v>
      </c>
      <c r="E162" t="s">
        <v>224</v>
      </c>
      <c r="F162" t="s">
        <v>225</v>
      </c>
      <c r="G162">
        <v>0</v>
      </c>
      <c r="H162">
        <v>0</v>
      </c>
      <c r="I162" t="s">
        <v>226</v>
      </c>
      <c r="J162">
        <v>0</v>
      </c>
      <c r="K162">
        <v>0</v>
      </c>
      <c r="N162">
        <v>0</v>
      </c>
    </row>
    <row r="163" spans="1:14" ht="12.75">
      <c r="A163">
        <v>70</v>
      </c>
      <c r="B163">
        <v>1</v>
      </c>
      <c r="D163">
        <v>7</v>
      </c>
      <c r="E163" t="s">
        <v>227</v>
      </c>
      <c r="F163" t="s">
        <v>228</v>
      </c>
      <c r="G163">
        <v>0</v>
      </c>
      <c r="H163">
        <v>0</v>
      </c>
      <c r="I163" t="s">
        <v>229</v>
      </c>
      <c r="J163">
        <v>0</v>
      </c>
      <c r="K163">
        <v>0</v>
      </c>
      <c r="N163">
        <v>0</v>
      </c>
    </row>
    <row r="164" spans="1:14" ht="12.75">
      <c r="A164">
        <v>70</v>
      </c>
      <c r="B164">
        <v>1</v>
      </c>
      <c r="D164">
        <v>8</v>
      </c>
      <c r="E164" t="s">
        <v>230</v>
      </c>
      <c r="F164" t="s">
        <v>231</v>
      </c>
      <c r="G164">
        <v>0</v>
      </c>
      <c r="H164">
        <v>0</v>
      </c>
      <c r="I164" t="s">
        <v>232</v>
      </c>
      <c r="J164">
        <v>0</v>
      </c>
      <c r="K164">
        <v>0</v>
      </c>
      <c r="N164">
        <v>0</v>
      </c>
    </row>
    <row r="165" spans="1:14" ht="12.75">
      <c r="A165">
        <v>70</v>
      </c>
      <c r="B165">
        <v>1</v>
      </c>
      <c r="D165">
        <v>9</v>
      </c>
      <c r="E165" t="s">
        <v>233</v>
      </c>
      <c r="F165" t="s">
        <v>234</v>
      </c>
      <c r="G165">
        <v>0</v>
      </c>
      <c r="H165">
        <v>0</v>
      </c>
      <c r="I165" t="s">
        <v>235</v>
      </c>
      <c r="J165">
        <v>0</v>
      </c>
      <c r="K165">
        <v>0</v>
      </c>
      <c r="N165">
        <v>0</v>
      </c>
    </row>
    <row r="166" spans="1:14" ht="12.75">
      <c r="A166">
        <v>70</v>
      </c>
      <c r="B166">
        <v>1</v>
      </c>
      <c r="D166">
        <v>10</v>
      </c>
      <c r="E166" t="s">
        <v>236</v>
      </c>
      <c r="F166" t="s">
        <v>237</v>
      </c>
      <c r="G166">
        <v>0</v>
      </c>
      <c r="H166">
        <v>0</v>
      </c>
      <c r="I166" t="s">
        <v>238</v>
      </c>
      <c r="J166">
        <v>0</v>
      </c>
      <c r="K166">
        <v>0</v>
      </c>
      <c r="N166">
        <v>0</v>
      </c>
    </row>
    <row r="167" spans="1:14" ht="12.75">
      <c r="A167">
        <v>70</v>
      </c>
      <c r="B167">
        <v>1</v>
      </c>
      <c r="D167">
        <v>1</v>
      </c>
      <c r="E167" t="s">
        <v>239</v>
      </c>
      <c r="F167" t="s">
        <v>240</v>
      </c>
      <c r="G167">
        <v>0.9</v>
      </c>
      <c r="H167">
        <v>0.9</v>
      </c>
      <c r="I167" t="s">
        <v>241</v>
      </c>
      <c r="J167">
        <v>0</v>
      </c>
      <c r="K167">
        <v>0</v>
      </c>
      <c r="N167">
        <v>0</v>
      </c>
    </row>
    <row r="168" spans="1:14" ht="12.75">
      <c r="A168">
        <v>70</v>
      </c>
      <c r="B168">
        <v>1</v>
      </c>
      <c r="D168">
        <v>2</v>
      </c>
      <c r="E168" t="s">
        <v>242</v>
      </c>
      <c r="F168" t="s">
        <v>243</v>
      </c>
      <c r="G168">
        <v>0.85</v>
      </c>
      <c r="H168">
        <v>0.85</v>
      </c>
      <c r="I168" t="s">
        <v>244</v>
      </c>
      <c r="J168">
        <v>0</v>
      </c>
      <c r="K168">
        <v>0</v>
      </c>
      <c r="N168">
        <v>0</v>
      </c>
    </row>
    <row r="169" spans="1:14" ht="12.75">
      <c r="A169">
        <v>70</v>
      </c>
      <c r="B169">
        <v>1</v>
      </c>
      <c r="D169">
        <v>3</v>
      </c>
      <c r="E169" t="s">
        <v>245</v>
      </c>
      <c r="F169" t="s">
        <v>246</v>
      </c>
      <c r="G169">
        <v>0.85</v>
      </c>
      <c r="H169">
        <v>0.85</v>
      </c>
      <c r="I169" t="s">
        <v>247</v>
      </c>
      <c r="J169">
        <v>0</v>
      </c>
      <c r="K169">
        <v>0</v>
      </c>
      <c r="N169">
        <v>0</v>
      </c>
    </row>
    <row r="170" spans="1:14" ht="12.75">
      <c r="A170">
        <v>70</v>
      </c>
      <c r="B170">
        <v>1</v>
      </c>
      <c r="D170">
        <v>4</v>
      </c>
      <c r="E170" t="s">
        <v>248</v>
      </c>
      <c r="F170" t="s">
        <v>249</v>
      </c>
      <c r="G170">
        <v>0.8</v>
      </c>
      <c r="H170">
        <v>0.8</v>
      </c>
      <c r="I170" t="s">
        <v>250</v>
      </c>
      <c r="J170">
        <v>0</v>
      </c>
      <c r="K170">
        <v>0</v>
      </c>
      <c r="N170">
        <v>0</v>
      </c>
    </row>
    <row r="171" spans="1:14" ht="12.75">
      <c r="A171">
        <v>70</v>
      </c>
      <c r="B171">
        <v>1</v>
      </c>
      <c r="D171">
        <v>5</v>
      </c>
      <c r="E171" t="s">
        <v>251</v>
      </c>
      <c r="F171" t="s">
        <v>252</v>
      </c>
      <c r="G171">
        <v>0.94</v>
      </c>
      <c r="H171">
        <v>0.94</v>
      </c>
      <c r="I171" t="s">
        <v>253</v>
      </c>
      <c r="J171">
        <v>0</v>
      </c>
      <c r="K171">
        <v>0</v>
      </c>
      <c r="N171">
        <v>0</v>
      </c>
    </row>
    <row r="173" ht="12.75">
      <c r="A173">
        <v>-1</v>
      </c>
    </row>
    <row r="175" spans="1:15" ht="12.75">
      <c r="A175" s="3">
        <v>75</v>
      </c>
      <c r="B175" s="3" t="s">
        <v>254</v>
      </c>
      <c r="C175" s="3">
        <v>2000</v>
      </c>
      <c r="D175" s="3">
        <v>0</v>
      </c>
      <c r="E175" s="3">
        <v>1</v>
      </c>
      <c r="F175" s="3">
        <v>0</v>
      </c>
      <c r="G175" s="3">
        <v>0</v>
      </c>
      <c r="H175" s="3">
        <v>1</v>
      </c>
      <c r="I175" s="3">
        <v>0</v>
      </c>
      <c r="J175" s="3">
        <v>1</v>
      </c>
      <c r="K175" s="3">
        <v>0</v>
      </c>
      <c r="L175" s="3">
        <v>0</v>
      </c>
      <c r="M175" s="3">
        <v>0</v>
      </c>
      <c r="N175" s="3">
        <v>27243028</v>
      </c>
      <c r="O175" s="3">
        <v>1</v>
      </c>
    </row>
    <row r="179" spans="1:5" ht="12.75">
      <c r="A179">
        <v>65</v>
      </c>
      <c r="C179">
        <v>1</v>
      </c>
      <c r="D179">
        <v>0</v>
      </c>
      <c r="E17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C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255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27243028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11</v>
      </c>
      <c r="D16" s="5" t="s">
        <v>11</v>
      </c>
      <c r="E16" s="6">
        <v>2305.849</v>
      </c>
      <c r="F16" s="6">
        <v>0</v>
      </c>
      <c r="G16" s="6">
        <v>0</v>
      </c>
      <c r="H16" s="6">
        <v>0</v>
      </c>
      <c r="I16" s="6">
        <v>2305.849</v>
      </c>
      <c r="J16" s="6">
        <v>189.507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1998247</v>
      </c>
      <c r="AU16" s="6">
        <v>1785415</v>
      </c>
      <c r="AV16" s="6">
        <v>0</v>
      </c>
      <c r="AW16" s="6">
        <v>0</v>
      </c>
      <c r="AX16" s="6">
        <v>0</v>
      </c>
      <c r="AY16" s="6">
        <v>23325</v>
      </c>
      <c r="AZ16" s="6">
        <v>0</v>
      </c>
      <c r="BA16" s="6">
        <v>189507</v>
      </c>
      <c r="BB16" s="6">
        <v>2305849</v>
      </c>
      <c r="BC16" s="6">
        <v>0</v>
      </c>
      <c r="BD16" s="6">
        <v>0</v>
      </c>
      <c r="BE16" s="6">
        <v>0</v>
      </c>
      <c r="BF16" s="6">
        <v>1464.055102</v>
      </c>
      <c r="BG16" s="6">
        <v>14.1494</v>
      </c>
      <c r="BH16" s="6">
        <v>0</v>
      </c>
      <c r="BI16" s="6">
        <v>196306</v>
      </c>
      <c r="BJ16" s="6">
        <v>111296</v>
      </c>
      <c r="BK16" s="6">
        <v>2305849</v>
      </c>
    </row>
    <row r="17" spans="1:63" ht="12.75">
      <c r="A17" s="5">
        <v>3</v>
      </c>
      <c r="B17" s="5">
        <v>2</v>
      </c>
      <c r="C17" s="5" t="s">
        <v>179</v>
      </c>
      <c r="D17" s="5" t="s">
        <v>180</v>
      </c>
      <c r="E17" s="6">
        <v>6857.872</v>
      </c>
      <c r="F17" s="6">
        <v>0</v>
      </c>
      <c r="G17" s="6">
        <v>0</v>
      </c>
      <c r="H17" s="6">
        <v>0</v>
      </c>
      <c r="I17" s="6">
        <v>6857.872</v>
      </c>
      <c r="J17" s="6">
        <v>316.851</v>
      </c>
      <c r="AI17" s="5">
        <v>0</v>
      </c>
      <c r="AJ17" s="5">
        <v>-1</v>
      </c>
      <c r="AK17" s="5" t="s">
        <v>3</v>
      </c>
      <c r="AL17" s="5" t="s">
        <v>3</v>
      </c>
      <c r="AM17" s="5" t="s">
        <v>3</v>
      </c>
      <c r="AN17" s="5">
        <v>0</v>
      </c>
      <c r="AO17" s="5" t="s">
        <v>3</v>
      </c>
      <c r="AP17" s="5" t="s">
        <v>3</v>
      </c>
      <c r="AT17" s="6">
        <v>6346406</v>
      </c>
      <c r="AU17" s="6">
        <v>6014484</v>
      </c>
      <c r="AV17" s="6">
        <v>0</v>
      </c>
      <c r="AW17" s="6">
        <v>0</v>
      </c>
      <c r="AX17" s="6">
        <v>0</v>
      </c>
      <c r="AY17" s="6">
        <v>15071</v>
      </c>
      <c r="AZ17" s="6">
        <v>0</v>
      </c>
      <c r="BA17" s="6">
        <v>316851</v>
      </c>
      <c r="BB17" s="6">
        <v>6857872</v>
      </c>
      <c r="BC17" s="6">
        <v>0</v>
      </c>
      <c r="BD17" s="6">
        <v>0</v>
      </c>
      <c r="BE17" s="6">
        <v>0</v>
      </c>
      <c r="BF17" s="6">
        <v>2434.7382800000005</v>
      </c>
      <c r="BG17" s="6">
        <v>4.4639999999999995</v>
      </c>
      <c r="BH17" s="6">
        <v>0</v>
      </c>
      <c r="BI17" s="6">
        <v>331593</v>
      </c>
      <c r="BJ17" s="6">
        <v>179873</v>
      </c>
      <c r="BK17" s="6">
        <v>6857872</v>
      </c>
    </row>
    <row r="19" spans="1:19" ht="12.75">
      <c r="A19">
        <v>51</v>
      </c>
      <c r="E19" s="7">
        <v>9163.721</v>
      </c>
      <c r="F19" s="7">
        <v>0</v>
      </c>
      <c r="G19" s="7">
        <v>0</v>
      </c>
      <c r="H19" s="7">
        <v>0</v>
      </c>
      <c r="I19" s="7">
        <v>9163.721</v>
      </c>
      <c r="J19" s="7">
        <v>506.358</v>
      </c>
      <c r="K19" s="7"/>
      <c r="L19" s="7"/>
      <c r="M19" s="7"/>
      <c r="N19" s="7"/>
      <c r="O19" s="7"/>
      <c r="P19" s="7"/>
      <c r="Q19" s="7"/>
      <c r="R19" s="7"/>
      <c r="S19" s="7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201</v>
      </c>
      <c r="F21" s="4">
        <v>8344653</v>
      </c>
      <c r="G21" s="4" t="s">
        <v>113</v>
      </c>
      <c r="H21" s="4" t="s">
        <v>114</v>
      </c>
      <c r="I21" s="4"/>
      <c r="J21" s="4"/>
      <c r="K21" s="4">
        <v>201</v>
      </c>
      <c r="L21" s="4">
        <v>1</v>
      </c>
      <c r="M21" s="4">
        <v>3</v>
      </c>
      <c r="N21" s="4" t="s">
        <v>3</v>
      </c>
      <c r="O21" s="4">
        <v>0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202</v>
      </c>
      <c r="F22" s="4">
        <v>7799899</v>
      </c>
      <c r="G22" s="4" t="s">
        <v>115</v>
      </c>
      <c r="H22" s="4" t="s">
        <v>116</v>
      </c>
      <c r="I22" s="4"/>
      <c r="J22" s="4"/>
      <c r="K22" s="4">
        <v>202</v>
      </c>
      <c r="L22" s="4">
        <v>2</v>
      </c>
      <c r="M22" s="4">
        <v>3</v>
      </c>
      <c r="N22" s="4" t="s">
        <v>3</v>
      </c>
      <c r="O22" s="4">
        <v>0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0</v>
      </c>
      <c r="F23" s="4">
        <v>0</v>
      </c>
      <c r="G23" s="4" t="s">
        <v>117</v>
      </c>
      <c r="H23" s="4" t="s">
        <v>118</v>
      </c>
      <c r="I23" s="4"/>
      <c r="J23" s="4"/>
      <c r="K23" s="4">
        <v>222</v>
      </c>
      <c r="L23" s="4">
        <v>3</v>
      </c>
      <c r="M23" s="4">
        <v>3</v>
      </c>
      <c r="N23" s="4" t="s">
        <v>3</v>
      </c>
      <c r="O23" s="4">
        <v>0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225</v>
      </c>
      <c r="F24" s="4">
        <v>7799899</v>
      </c>
      <c r="G24" s="4" t="s">
        <v>119</v>
      </c>
      <c r="H24" s="4" t="s">
        <v>120</v>
      </c>
      <c r="I24" s="4"/>
      <c r="J24" s="4"/>
      <c r="K24" s="4">
        <v>225</v>
      </c>
      <c r="L24" s="4">
        <v>4</v>
      </c>
      <c r="M24" s="4">
        <v>3</v>
      </c>
      <c r="N24" s="4" t="s">
        <v>3</v>
      </c>
      <c r="O24" s="4">
        <v>0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226</v>
      </c>
      <c r="F25" s="4">
        <v>7799899</v>
      </c>
      <c r="G25" s="4" t="s">
        <v>121</v>
      </c>
      <c r="H25" s="4" t="s">
        <v>122</v>
      </c>
      <c r="I25" s="4"/>
      <c r="J25" s="4"/>
      <c r="K25" s="4">
        <v>226</v>
      </c>
      <c r="L25" s="4">
        <v>5</v>
      </c>
      <c r="M25" s="4">
        <v>3</v>
      </c>
      <c r="N25" s="4" t="s">
        <v>3</v>
      </c>
      <c r="O25" s="4">
        <v>0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227</v>
      </c>
      <c r="F26" s="4">
        <v>0</v>
      </c>
      <c r="G26" s="4" t="s">
        <v>123</v>
      </c>
      <c r="H26" s="4" t="s">
        <v>124</v>
      </c>
      <c r="I26" s="4"/>
      <c r="J26" s="4"/>
      <c r="K26" s="4">
        <v>227</v>
      </c>
      <c r="L26" s="4">
        <v>6</v>
      </c>
      <c r="M26" s="4">
        <v>3</v>
      </c>
      <c r="N26" s="4" t="s">
        <v>3</v>
      </c>
      <c r="O26" s="4">
        <v>0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228</v>
      </c>
      <c r="F27" s="4">
        <v>7799899</v>
      </c>
      <c r="G27" s="4" t="s">
        <v>125</v>
      </c>
      <c r="H27" s="4" t="s">
        <v>126</v>
      </c>
      <c r="I27" s="4"/>
      <c r="J27" s="4"/>
      <c r="K27" s="4">
        <v>228</v>
      </c>
      <c r="L27" s="4">
        <v>7</v>
      </c>
      <c r="M27" s="4">
        <v>3</v>
      </c>
      <c r="N27" s="4" t="s">
        <v>3</v>
      </c>
      <c r="O27" s="4">
        <v>0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216</v>
      </c>
      <c r="F28" s="4">
        <v>0</v>
      </c>
      <c r="G28" s="4" t="s">
        <v>127</v>
      </c>
      <c r="H28" s="4" t="s">
        <v>128</v>
      </c>
      <c r="I28" s="4"/>
      <c r="J28" s="4"/>
      <c r="K28" s="4">
        <v>216</v>
      </c>
      <c r="L28" s="4">
        <v>8</v>
      </c>
      <c r="M28" s="4">
        <v>3</v>
      </c>
      <c r="N28" s="4" t="s">
        <v>3</v>
      </c>
      <c r="O28" s="4">
        <v>0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223</v>
      </c>
      <c r="F29" s="4">
        <v>0</v>
      </c>
      <c r="G29" s="4" t="s">
        <v>129</v>
      </c>
      <c r="H29" s="4" t="s">
        <v>130</v>
      </c>
      <c r="I29" s="4"/>
      <c r="J29" s="4"/>
      <c r="K29" s="4">
        <v>223</v>
      </c>
      <c r="L29" s="4">
        <v>9</v>
      </c>
      <c r="M29" s="4">
        <v>3</v>
      </c>
      <c r="N29" s="4" t="s">
        <v>3</v>
      </c>
      <c r="O29" s="4">
        <v>0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229</v>
      </c>
      <c r="F30" s="4">
        <v>0</v>
      </c>
      <c r="G30" s="4" t="s">
        <v>131</v>
      </c>
      <c r="H30" s="4" t="s">
        <v>132</v>
      </c>
      <c r="I30" s="4"/>
      <c r="J30" s="4"/>
      <c r="K30" s="4">
        <v>229</v>
      </c>
      <c r="L30" s="4">
        <v>10</v>
      </c>
      <c r="M30" s="4">
        <v>3</v>
      </c>
      <c r="N30" s="4" t="s">
        <v>3</v>
      </c>
      <c r="O30" s="4">
        <v>0</v>
      </c>
      <c r="P30" s="4"/>
    </row>
    <row r="31" spans="1:16" ht="12.75">
      <c r="A31" s="4">
        <v>50</v>
      </c>
      <c r="B31" s="4">
        <v>1</v>
      </c>
      <c r="C31" s="4">
        <v>0</v>
      </c>
      <c r="D31" s="4">
        <v>1</v>
      </c>
      <c r="E31" s="4">
        <v>203</v>
      </c>
      <c r="F31" s="4">
        <v>38396</v>
      </c>
      <c r="G31" s="4" t="s">
        <v>133</v>
      </c>
      <c r="H31" s="4" t="s">
        <v>134</v>
      </c>
      <c r="I31" s="4"/>
      <c r="J31" s="4"/>
      <c r="K31" s="4">
        <v>203</v>
      </c>
      <c r="L31" s="4">
        <v>11</v>
      </c>
      <c r="M31" s="4">
        <v>0</v>
      </c>
      <c r="N31" s="4" t="s">
        <v>3</v>
      </c>
      <c r="O31" s="4">
        <v>0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0</v>
      </c>
      <c r="G32" s="4" t="s">
        <v>135</v>
      </c>
      <c r="H32" s="4" t="s">
        <v>136</v>
      </c>
      <c r="I32" s="4"/>
      <c r="J32" s="4"/>
      <c r="K32" s="4">
        <v>204</v>
      </c>
      <c r="L32" s="4">
        <v>12</v>
      </c>
      <c r="M32" s="4">
        <v>3</v>
      </c>
      <c r="N32" s="4" t="s">
        <v>3</v>
      </c>
      <c r="O32" s="4">
        <v>0</v>
      </c>
      <c r="P32" s="4"/>
    </row>
    <row r="33" spans="1:16" ht="12.75">
      <c r="A33" s="4">
        <v>50</v>
      </c>
      <c r="B33" s="4">
        <v>1</v>
      </c>
      <c r="C33" s="4">
        <v>0</v>
      </c>
      <c r="D33" s="4">
        <v>1</v>
      </c>
      <c r="E33" s="4">
        <v>205</v>
      </c>
      <c r="F33" s="4">
        <v>506358</v>
      </c>
      <c r="G33" s="4" t="s">
        <v>137</v>
      </c>
      <c r="H33" s="4" t="s">
        <v>138</v>
      </c>
      <c r="I33" s="4"/>
      <c r="J33" s="4"/>
      <c r="K33" s="4">
        <v>205</v>
      </c>
      <c r="L33" s="4">
        <v>13</v>
      </c>
      <c r="M33" s="4">
        <v>0</v>
      </c>
      <c r="N33" s="4" t="s">
        <v>3</v>
      </c>
      <c r="O33" s="4">
        <v>0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214</v>
      </c>
      <c r="F34" s="4">
        <v>9163721</v>
      </c>
      <c r="G34" s="4" t="s">
        <v>139</v>
      </c>
      <c r="H34" s="4" t="s">
        <v>140</v>
      </c>
      <c r="I34" s="4"/>
      <c r="J34" s="4"/>
      <c r="K34" s="4">
        <v>214</v>
      </c>
      <c r="L34" s="4">
        <v>14</v>
      </c>
      <c r="M34" s="4">
        <v>3</v>
      </c>
      <c r="N34" s="4" t="s">
        <v>3</v>
      </c>
      <c r="O34" s="4">
        <v>0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215</v>
      </c>
      <c r="F35" s="4">
        <v>0</v>
      </c>
      <c r="G35" s="4" t="s">
        <v>141</v>
      </c>
      <c r="H35" s="4" t="s">
        <v>142</v>
      </c>
      <c r="I35" s="4"/>
      <c r="J35" s="4"/>
      <c r="K35" s="4">
        <v>215</v>
      </c>
      <c r="L35" s="4">
        <v>15</v>
      </c>
      <c r="M35" s="4">
        <v>3</v>
      </c>
      <c r="N35" s="4" t="s">
        <v>3</v>
      </c>
      <c r="O35" s="4">
        <v>0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217</v>
      </c>
      <c r="F36" s="4">
        <v>0</v>
      </c>
      <c r="G36" s="4" t="s">
        <v>143</v>
      </c>
      <c r="H36" s="4" t="s">
        <v>144</v>
      </c>
      <c r="I36" s="4"/>
      <c r="J36" s="4"/>
      <c r="K36" s="4">
        <v>217</v>
      </c>
      <c r="L36" s="4">
        <v>16</v>
      </c>
      <c r="M36" s="4">
        <v>3</v>
      </c>
      <c r="N36" s="4" t="s">
        <v>3</v>
      </c>
      <c r="O36" s="4">
        <v>0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206</v>
      </c>
      <c r="F37" s="4">
        <v>0</v>
      </c>
      <c r="G37" s="4" t="s">
        <v>145</v>
      </c>
      <c r="H37" s="4" t="s">
        <v>146</v>
      </c>
      <c r="I37" s="4"/>
      <c r="J37" s="4"/>
      <c r="K37" s="4">
        <v>206</v>
      </c>
      <c r="L37" s="4">
        <v>17</v>
      </c>
      <c r="M37" s="4">
        <v>3</v>
      </c>
      <c r="N37" s="4" t="s">
        <v>3</v>
      </c>
      <c r="O37" s="4">
        <v>0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207</v>
      </c>
      <c r="F38" s="4">
        <v>3898.7933820000003</v>
      </c>
      <c r="G38" s="4" t="s">
        <v>147</v>
      </c>
      <c r="H38" s="4" t="s">
        <v>148</v>
      </c>
      <c r="I38" s="4"/>
      <c r="J38" s="4"/>
      <c r="K38" s="4">
        <v>207</v>
      </c>
      <c r="L38" s="4">
        <v>18</v>
      </c>
      <c r="M38" s="4">
        <v>3</v>
      </c>
      <c r="N38" s="4" t="s">
        <v>3</v>
      </c>
      <c r="O38" s="4">
        <v>-1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208</v>
      </c>
      <c r="F39" s="4">
        <v>18.613400000000002</v>
      </c>
      <c r="G39" s="4" t="s">
        <v>149</v>
      </c>
      <c r="H39" s="4" t="s">
        <v>150</v>
      </c>
      <c r="I39" s="4"/>
      <c r="J39" s="4"/>
      <c r="K39" s="4">
        <v>208</v>
      </c>
      <c r="L39" s="4">
        <v>19</v>
      </c>
      <c r="M39" s="4">
        <v>3</v>
      </c>
      <c r="N39" s="4" t="s">
        <v>3</v>
      </c>
      <c r="O39" s="4">
        <v>-1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209</v>
      </c>
      <c r="F40" s="4">
        <v>0</v>
      </c>
      <c r="G40" s="4" t="s">
        <v>151</v>
      </c>
      <c r="H40" s="4" t="s">
        <v>152</v>
      </c>
      <c r="I40" s="4"/>
      <c r="J40" s="4"/>
      <c r="K40" s="4">
        <v>209</v>
      </c>
      <c r="L40" s="4">
        <v>20</v>
      </c>
      <c r="M40" s="4">
        <v>3</v>
      </c>
      <c r="N40" s="4" t="s">
        <v>3</v>
      </c>
      <c r="O40" s="4">
        <v>0</v>
      </c>
      <c r="P40" s="4"/>
    </row>
    <row r="41" spans="1:16" ht="12.75">
      <c r="A41" s="4">
        <v>50</v>
      </c>
      <c r="B41" s="4">
        <v>1</v>
      </c>
      <c r="C41" s="4">
        <v>0</v>
      </c>
      <c r="D41" s="4">
        <v>1</v>
      </c>
      <c r="E41" s="4">
        <v>210</v>
      </c>
      <c r="F41" s="4">
        <v>527899</v>
      </c>
      <c r="G41" s="4" t="s">
        <v>153</v>
      </c>
      <c r="H41" s="4" t="s">
        <v>154</v>
      </c>
      <c r="I41" s="4"/>
      <c r="J41" s="4"/>
      <c r="K41" s="4">
        <v>210</v>
      </c>
      <c r="L41" s="4">
        <v>21</v>
      </c>
      <c r="M41" s="4">
        <v>0</v>
      </c>
      <c r="N41" s="4" t="s">
        <v>3</v>
      </c>
      <c r="O41" s="4">
        <v>0</v>
      </c>
      <c r="P41" s="4"/>
    </row>
    <row r="42" spans="1:16" ht="12.75">
      <c r="A42" s="4">
        <v>50</v>
      </c>
      <c r="B42" s="4">
        <v>1</v>
      </c>
      <c r="C42" s="4">
        <v>0</v>
      </c>
      <c r="D42" s="4">
        <v>1</v>
      </c>
      <c r="E42" s="4">
        <v>211</v>
      </c>
      <c r="F42" s="4">
        <v>291169</v>
      </c>
      <c r="G42" s="4" t="s">
        <v>155</v>
      </c>
      <c r="H42" s="4" t="s">
        <v>156</v>
      </c>
      <c r="I42" s="4"/>
      <c r="J42" s="4"/>
      <c r="K42" s="4">
        <v>211</v>
      </c>
      <c r="L42" s="4">
        <v>22</v>
      </c>
      <c r="M42" s="4">
        <v>0</v>
      </c>
      <c r="N42" s="4" t="s">
        <v>3</v>
      </c>
      <c r="O42" s="4">
        <v>0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224</v>
      </c>
      <c r="F43" s="4">
        <v>9163721</v>
      </c>
      <c r="G43" s="4" t="s">
        <v>157</v>
      </c>
      <c r="H43" s="4" t="s">
        <v>158</v>
      </c>
      <c r="I43" s="4"/>
      <c r="J43" s="4"/>
      <c r="K43" s="4">
        <v>224</v>
      </c>
      <c r="L43" s="4">
        <v>23</v>
      </c>
      <c r="M43" s="4">
        <v>3</v>
      </c>
      <c r="N43" s="4" t="s">
        <v>3</v>
      </c>
      <c r="O43" s="4">
        <v>0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1363822</v>
      </c>
      <c r="G44" s="4" t="s">
        <v>159</v>
      </c>
      <c r="H44" s="4" t="s">
        <v>160</v>
      </c>
      <c r="I44" s="4"/>
      <c r="J44" s="4"/>
      <c r="K44" s="4">
        <v>212</v>
      </c>
      <c r="L44" s="4">
        <v>24</v>
      </c>
      <c r="M44" s="4">
        <v>0</v>
      </c>
      <c r="N44" s="4" t="s">
        <v>3</v>
      </c>
      <c r="O44" s="4">
        <v>0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7799899</v>
      </c>
      <c r="G45" s="4" t="s">
        <v>204</v>
      </c>
      <c r="H45" s="4" t="s">
        <v>205</v>
      </c>
      <c r="I45" s="4"/>
      <c r="J45" s="4"/>
      <c r="K45" s="4">
        <v>212</v>
      </c>
      <c r="L45" s="4">
        <v>25</v>
      </c>
      <c r="M45" s="4">
        <v>0</v>
      </c>
      <c r="N45" s="4" t="s">
        <v>3</v>
      </c>
      <c r="O45" s="4">
        <v>0</v>
      </c>
      <c r="P45" s="4"/>
    </row>
    <row r="46" spans="1:16" ht="12.75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545993</v>
      </c>
      <c r="G46" s="4" t="s">
        <v>171</v>
      </c>
      <c r="H46" s="4" t="s">
        <v>172</v>
      </c>
      <c r="I46" s="4"/>
      <c r="J46" s="4"/>
      <c r="K46" s="4">
        <v>212</v>
      </c>
      <c r="L46" s="4">
        <v>26</v>
      </c>
      <c r="M46" s="4">
        <v>0</v>
      </c>
      <c r="N46" s="4" t="s">
        <v>3</v>
      </c>
      <c r="O46" s="4">
        <v>0</v>
      </c>
      <c r="P46" s="4"/>
    </row>
    <row r="47" spans="1:16" ht="12.75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9709714</v>
      </c>
      <c r="G47" s="4" t="s">
        <v>177</v>
      </c>
      <c r="H47" s="4" t="s">
        <v>206</v>
      </c>
      <c r="I47" s="4"/>
      <c r="J47" s="4"/>
      <c r="K47" s="4">
        <v>212</v>
      </c>
      <c r="L47" s="4">
        <v>27</v>
      </c>
      <c r="M47" s="4">
        <v>0</v>
      </c>
      <c r="N47" s="4" t="s">
        <v>3</v>
      </c>
      <c r="O47" s="4">
        <v>0</v>
      </c>
      <c r="P47" s="4"/>
    </row>
    <row r="48" spans="1:16" ht="12.75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1747749</v>
      </c>
      <c r="G48" s="4" t="s">
        <v>175</v>
      </c>
      <c r="H48" s="4" t="s">
        <v>176</v>
      </c>
      <c r="I48" s="4"/>
      <c r="J48" s="4"/>
      <c r="K48" s="4">
        <v>212</v>
      </c>
      <c r="L48" s="4">
        <v>28</v>
      </c>
      <c r="M48" s="4">
        <v>0</v>
      </c>
      <c r="N48" s="4" t="s">
        <v>3</v>
      </c>
      <c r="O48" s="4">
        <v>0</v>
      </c>
      <c r="P48" s="4"/>
    </row>
    <row r="49" spans="1:16" ht="12.75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v>11457463</v>
      </c>
      <c r="G49" s="4" t="s">
        <v>207</v>
      </c>
      <c r="H49" s="4" t="s">
        <v>208</v>
      </c>
      <c r="I49" s="4"/>
      <c r="J49" s="4"/>
      <c r="K49" s="4">
        <v>212</v>
      </c>
      <c r="L49" s="4">
        <v>29</v>
      </c>
      <c r="M49" s="4">
        <v>0</v>
      </c>
      <c r="N49" s="4" t="s">
        <v>3</v>
      </c>
      <c r="O49" s="4">
        <v>0</v>
      </c>
      <c r="P49" s="4"/>
    </row>
    <row r="51" ht="12.75">
      <c r="A51">
        <v>-1</v>
      </c>
    </row>
    <row r="54" spans="1:15" ht="12.75">
      <c r="A54" s="3">
        <v>75</v>
      </c>
      <c r="B54" s="3" t="s">
        <v>254</v>
      </c>
      <c r="C54" s="3">
        <v>2000</v>
      </c>
      <c r="D54" s="3">
        <v>0</v>
      </c>
      <c r="E54" s="3">
        <v>1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27243028</v>
      </c>
      <c r="O54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B16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ROW(Source!A24)</f>
        <v>24</v>
      </c>
      <c r="B1">
        <v>27243028</v>
      </c>
      <c r="C1">
        <v>27243129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256</v>
      </c>
      <c r="K1" t="s">
        <v>257</v>
      </c>
      <c r="L1">
        <v>1369</v>
      </c>
      <c r="N1">
        <v>1013</v>
      </c>
      <c r="O1" t="s">
        <v>258</v>
      </c>
      <c r="P1" t="s">
        <v>258</v>
      </c>
      <c r="Q1">
        <v>1</v>
      </c>
      <c r="W1">
        <v>0</v>
      </c>
      <c r="X1">
        <v>1607597553</v>
      </c>
      <c r="Y1">
        <v>15.9</v>
      </c>
      <c r="AA1">
        <v>0</v>
      </c>
      <c r="AB1">
        <v>0</v>
      </c>
      <c r="AC1">
        <v>0</v>
      </c>
      <c r="AD1">
        <v>115.12</v>
      </c>
      <c r="AE1">
        <v>0</v>
      </c>
      <c r="AF1">
        <v>0</v>
      </c>
      <c r="AG1">
        <v>0</v>
      </c>
      <c r="AH1">
        <v>115.12</v>
      </c>
      <c r="AI1">
        <v>1</v>
      </c>
      <c r="AJ1">
        <v>1</v>
      </c>
      <c r="AK1">
        <v>1</v>
      </c>
      <c r="AL1">
        <v>1</v>
      </c>
      <c r="AN1">
        <v>0</v>
      </c>
      <c r="AO1">
        <v>0</v>
      </c>
      <c r="AP1">
        <v>1</v>
      </c>
      <c r="AQ1">
        <v>1</v>
      </c>
      <c r="AR1">
        <v>0</v>
      </c>
      <c r="AT1">
        <v>15.9</v>
      </c>
      <c r="AV1">
        <v>1</v>
      </c>
      <c r="AW1">
        <v>2</v>
      </c>
      <c r="AX1">
        <v>27243132</v>
      </c>
      <c r="AY1">
        <v>2</v>
      </c>
      <c r="AZ1">
        <v>131072</v>
      </c>
      <c r="BA1">
        <v>1</v>
      </c>
      <c r="BB1">
        <v>1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1830.4080000000001</v>
      </c>
      <c r="BN1">
        <v>15.9</v>
      </c>
      <c r="BO1">
        <v>0</v>
      </c>
      <c r="BP1">
        <v>1</v>
      </c>
      <c r="BQ1">
        <v>0</v>
      </c>
      <c r="BR1">
        <v>0</v>
      </c>
      <c r="BS1">
        <v>0</v>
      </c>
      <c r="BT1">
        <v>1830.4080000000001</v>
      </c>
      <c r="BU1">
        <v>15.9</v>
      </c>
      <c r="BV1">
        <v>0</v>
      </c>
      <c r="BW1">
        <v>1</v>
      </c>
      <c r="CX1">
        <f>Y1*Source!I24</f>
        <v>9.54</v>
      </c>
      <c r="CY1">
        <f>AD1</f>
        <v>115.12</v>
      </c>
      <c r="CZ1">
        <f>AH1</f>
        <v>115.12</v>
      </c>
      <c r="DA1">
        <f>AL1</f>
        <v>1</v>
      </c>
      <c r="DB1">
        <v>0</v>
      </c>
    </row>
    <row r="2" spans="1:106" ht="12.75">
      <c r="A2">
        <f>ROW(Source!A24)</f>
        <v>24</v>
      </c>
      <c r="B2">
        <v>27243028</v>
      </c>
      <c r="C2">
        <v>27243129</v>
      </c>
      <c r="D2">
        <v>24322593</v>
      </c>
      <c r="E2">
        <v>1</v>
      </c>
      <c r="F2">
        <v>1</v>
      </c>
      <c r="G2">
        <v>1</v>
      </c>
      <c r="H2">
        <v>2</v>
      </c>
      <c r="I2" t="s">
        <v>259</v>
      </c>
      <c r="J2" t="s">
        <v>260</v>
      </c>
      <c r="K2" t="s">
        <v>261</v>
      </c>
      <c r="L2">
        <v>1368</v>
      </c>
      <c r="N2">
        <v>1011</v>
      </c>
      <c r="O2" t="s">
        <v>262</v>
      </c>
      <c r="P2" t="s">
        <v>262</v>
      </c>
      <c r="Q2">
        <v>1</v>
      </c>
      <c r="W2">
        <v>0</v>
      </c>
      <c r="X2">
        <v>1118787931</v>
      </c>
      <c r="Y2">
        <v>4.6</v>
      </c>
      <c r="AA2">
        <v>0</v>
      </c>
      <c r="AB2">
        <v>26.85</v>
      </c>
      <c r="AC2">
        <v>0</v>
      </c>
      <c r="AD2">
        <v>0</v>
      </c>
      <c r="AE2">
        <v>0</v>
      </c>
      <c r="AF2">
        <v>26.85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1</v>
      </c>
      <c r="AQ2">
        <v>1</v>
      </c>
      <c r="AR2">
        <v>0</v>
      </c>
      <c r="AT2">
        <v>4.6</v>
      </c>
      <c r="AV2">
        <v>0</v>
      </c>
      <c r="AW2">
        <v>2</v>
      </c>
      <c r="AX2">
        <v>27243133</v>
      </c>
      <c r="AY2">
        <v>2</v>
      </c>
      <c r="AZ2">
        <v>32768</v>
      </c>
      <c r="BA2">
        <v>2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123.50999999999999</v>
      </c>
      <c r="BL2">
        <v>0</v>
      </c>
      <c r="BM2">
        <v>0</v>
      </c>
      <c r="BN2">
        <v>0</v>
      </c>
      <c r="BO2">
        <v>0</v>
      </c>
      <c r="BP2">
        <v>1</v>
      </c>
      <c r="BQ2">
        <v>0</v>
      </c>
      <c r="BR2">
        <v>123.50999999999999</v>
      </c>
      <c r="BS2">
        <v>0</v>
      </c>
      <c r="BT2">
        <v>0</v>
      </c>
      <c r="BU2">
        <v>0</v>
      </c>
      <c r="BV2">
        <v>0</v>
      </c>
      <c r="BW2">
        <v>1</v>
      </c>
      <c r="CX2">
        <f>Y2*Source!I24</f>
        <v>2.76</v>
      </c>
      <c r="CY2">
        <f>AB2</f>
        <v>26.85</v>
      </c>
      <c r="CZ2">
        <f>AF2</f>
        <v>26.85</v>
      </c>
      <c r="DA2">
        <f>AJ2</f>
        <v>1</v>
      </c>
      <c r="DB2">
        <v>0</v>
      </c>
    </row>
    <row r="3" spans="1:106" ht="12.75">
      <c r="A3">
        <f>ROW(Source!A25)</f>
        <v>25</v>
      </c>
      <c r="B3">
        <v>27243028</v>
      </c>
      <c r="C3">
        <v>27243134</v>
      </c>
      <c r="D3">
        <v>9415650</v>
      </c>
      <c r="E3">
        <v>1</v>
      </c>
      <c r="F3">
        <v>1</v>
      </c>
      <c r="G3">
        <v>1</v>
      </c>
      <c r="H3">
        <v>1</v>
      </c>
      <c r="I3" t="s">
        <v>263</v>
      </c>
      <c r="K3" t="s">
        <v>264</v>
      </c>
      <c r="L3">
        <v>1369</v>
      </c>
      <c r="N3">
        <v>1013</v>
      </c>
      <c r="O3" t="s">
        <v>258</v>
      </c>
      <c r="P3" t="s">
        <v>258</v>
      </c>
      <c r="Q3">
        <v>1</v>
      </c>
      <c r="W3">
        <v>0</v>
      </c>
      <c r="X3">
        <v>-1833635764</v>
      </c>
      <c r="Y3">
        <v>18</v>
      </c>
      <c r="AA3">
        <v>0</v>
      </c>
      <c r="AB3">
        <v>0</v>
      </c>
      <c r="AC3">
        <v>0</v>
      </c>
      <c r="AD3">
        <v>123.7</v>
      </c>
      <c r="AE3">
        <v>0</v>
      </c>
      <c r="AF3">
        <v>0</v>
      </c>
      <c r="AG3">
        <v>0</v>
      </c>
      <c r="AH3">
        <v>123.7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1</v>
      </c>
      <c r="AQ3">
        <v>1</v>
      </c>
      <c r="AR3">
        <v>0</v>
      </c>
      <c r="AT3">
        <v>22.5</v>
      </c>
      <c r="AU3" t="s">
        <v>28</v>
      </c>
      <c r="AV3">
        <v>1</v>
      </c>
      <c r="AW3">
        <v>2</v>
      </c>
      <c r="AX3">
        <v>27243139</v>
      </c>
      <c r="AY3">
        <v>2</v>
      </c>
      <c r="AZ3">
        <v>131072</v>
      </c>
      <c r="BA3">
        <v>3</v>
      </c>
      <c r="BB3">
        <v>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2783.25</v>
      </c>
      <c r="BN3">
        <v>22.5</v>
      </c>
      <c r="BO3">
        <v>0</v>
      </c>
      <c r="BP3">
        <v>1</v>
      </c>
      <c r="BQ3">
        <v>0</v>
      </c>
      <c r="BR3">
        <v>0</v>
      </c>
      <c r="BS3">
        <v>0</v>
      </c>
      <c r="BT3">
        <v>2226.6</v>
      </c>
      <c r="BU3">
        <v>18</v>
      </c>
      <c r="BV3">
        <v>0</v>
      </c>
      <c r="BW3">
        <v>1</v>
      </c>
      <c r="CX3">
        <f>Y3*Source!I25</f>
        <v>190.79999999999998</v>
      </c>
      <c r="CY3">
        <f>AD3</f>
        <v>123.7</v>
      </c>
      <c r="CZ3">
        <f>AH3</f>
        <v>123.7</v>
      </c>
      <c r="DA3">
        <f>AL3</f>
        <v>1</v>
      </c>
      <c r="DB3">
        <v>0</v>
      </c>
    </row>
    <row r="4" spans="1:106" ht="12.75">
      <c r="A4">
        <f>ROW(Source!A25)</f>
        <v>25</v>
      </c>
      <c r="B4">
        <v>27243028</v>
      </c>
      <c r="C4">
        <v>27243134</v>
      </c>
      <c r="D4">
        <v>24281578</v>
      </c>
      <c r="E4">
        <v>1</v>
      </c>
      <c r="F4">
        <v>1</v>
      </c>
      <c r="G4">
        <v>1</v>
      </c>
      <c r="H4">
        <v>2</v>
      </c>
      <c r="I4" t="s">
        <v>265</v>
      </c>
      <c r="J4" t="s">
        <v>266</v>
      </c>
      <c r="K4" t="s">
        <v>267</v>
      </c>
      <c r="L4">
        <v>1368</v>
      </c>
      <c r="N4">
        <v>1011</v>
      </c>
      <c r="O4" t="s">
        <v>262</v>
      </c>
      <c r="P4" t="s">
        <v>262</v>
      </c>
      <c r="Q4">
        <v>1</v>
      </c>
      <c r="W4">
        <v>0</v>
      </c>
      <c r="X4">
        <v>1436808103</v>
      </c>
      <c r="Y4">
        <v>0.18400000000000002</v>
      </c>
      <c r="AA4">
        <v>0</v>
      </c>
      <c r="AB4">
        <v>7.94</v>
      </c>
      <c r="AC4">
        <v>0</v>
      </c>
      <c r="AD4">
        <v>0</v>
      </c>
      <c r="AE4">
        <v>0</v>
      </c>
      <c r="AF4">
        <v>7.94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1</v>
      </c>
      <c r="AQ4">
        <v>1</v>
      </c>
      <c r="AR4">
        <v>0</v>
      </c>
      <c r="AT4">
        <v>0.23</v>
      </c>
      <c r="AU4" t="s">
        <v>28</v>
      </c>
      <c r="AV4">
        <v>0</v>
      </c>
      <c r="AW4">
        <v>2</v>
      </c>
      <c r="AX4">
        <v>27243140</v>
      </c>
      <c r="AY4">
        <v>2</v>
      </c>
      <c r="AZ4">
        <v>32768</v>
      </c>
      <c r="BA4">
        <v>4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1.8262000000000003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1.4609600000000003</v>
      </c>
      <c r="BS4">
        <v>0</v>
      </c>
      <c r="BT4">
        <v>0</v>
      </c>
      <c r="BU4">
        <v>0</v>
      </c>
      <c r="BV4">
        <v>0</v>
      </c>
      <c r="BW4">
        <v>1</v>
      </c>
      <c r="CX4">
        <f>Y4*Source!I25</f>
        <v>1.9504000000000001</v>
      </c>
      <c r="CY4">
        <f>AB4</f>
        <v>7.94</v>
      </c>
      <c r="CZ4">
        <f>AF4</f>
        <v>7.94</v>
      </c>
      <c r="DA4">
        <f>AJ4</f>
        <v>1</v>
      </c>
      <c r="DB4">
        <v>0</v>
      </c>
    </row>
    <row r="5" spans="1:106" ht="12.75">
      <c r="A5">
        <f>ROW(Source!A25)</f>
        <v>25</v>
      </c>
      <c r="B5">
        <v>27243028</v>
      </c>
      <c r="C5">
        <v>27243134</v>
      </c>
      <c r="D5">
        <v>24269660</v>
      </c>
      <c r="E5">
        <v>1</v>
      </c>
      <c r="F5">
        <v>1</v>
      </c>
      <c r="G5">
        <v>1</v>
      </c>
      <c r="H5">
        <v>2</v>
      </c>
      <c r="I5" t="s">
        <v>268</v>
      </c>
      <c r="J5" t="s">
        <v>269</v>
      </c>
      <c r="K5" t="s">
        <v>270</v>
      </c>
      <c r="L5">
        <v>1368</v>
      </c>
      <c r="N5">
        <v>1011</v>
      </c>
      <c r="O5" t="s">
        <v>262</v>
      </c>
      <c r="P5" t="s">
        <v>262</v>
      </c>
      <c r="Q5">
        <v>1</v>
      </c>
      <c r="W5">
        <v>0</v>
      </c>
      <c r="X5">
        <v>-1324384398</v>
      </c>
      <c r="Y5">
        <v>0.264</v>
      </c>
      <c r="AA5">
        <v>0</v>
      </c>
      <c r="AB5">
        <v>26.17</v>
      </c>
      <c r="AC5">
        <v>0</v>
      </c>
      <c r="AD5">
        <v>0</v>
      </c>
      <c r="AE5">
        <v>0</v>
      </c>
      <c r="AF5">
        <v>26.17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1</v>
      </c>
      <c r="AQ5">
        <v>1</v>
      </c>
      <c r="AR5">
        <v>0</v>
      </c>
      <c r="AT5">
        <v>0.33</v>
      </c>
      <c r="AU5" t="s">
        <v>28</v>
      </c>
      <c r="AV5">
        <v>0</v>
      </c>
      <c r="AW5">
        <v>2</v>
      </c>
      <c r="AX5">
        <v>27243141</v>
      </c>
      <c r="AY5">
        <v>2</v>
      </c>
      <c r="AZ5">
        <v>32768</v>
      </c>
      <c r="BA5">
        <v>5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8.6361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v>6.908880000000001</v>
      </c>
      <c r="BS5">
        <v>0</v>
      </c>
      <c r="BT5">
        <v>0</v>
      </c>
      <c r="BU5">
        <v>0</v>
      </c>
      <c r="BV5">
        <v>0</v>
      </c>
      <c r="BW5">
        <v>1</v>
      </c>
      <c r="CX5">
        <f>Y5*Source!I25</f>
        <v>2.7984</v>
      </c>
      <c r="CY5">
        <f>AB5</f>
        <v>26.17</v>
      </c>
      <c r="CZ5">
        <f>AF5</f>
        <v>26.17</v>
      </c>
      <c r="DA5">
        <f>AJ5</f>
        <v>1</v>
      </c>
      <c r="DB5">
        <v>0</v>
      </c>
    </row>
    <row r="6" spans="1:106" ht="12.75">
      <c r="A6">
        <f>ROW(Source!A25)</f>
        <v>25</v>
      </c>
      <c r="B6">
        <v>27243028</v>
      </c>
      <c r="C6">
        <v>27243134</v>
      </c>
      <c r="D6">
        <v>24262102</v>
      </c>
      <c r="E6">
        <v>1</v>
      </c>
      <c r="F6">
        <v>1</v>
      </c>
      <c r="G6">
        <v>1</v>
      </c>
      <c r="H6">
        <v>2</v>
      </c>
      <c r="I6" t="s">
        <v>271</v>
      </c>
      <c r="J6" t="s">
        <v>272</v>
      </c>
      <c r="K6" t="s">
        <v>273</v>
      </c>
      <c r="L6">
        <v>1368</v>
      </c>
      <c r="N6">
        <v>1011</v>
      </c>
      <c r="O6" t="s">
        <v>262</v>
      </c>
      <c r="P6" t="s">
        <v>262</v>
      </c>
      <c r="Q6">
        <v>1</v>
      </c>
      <c r="W6">
        <v>0</v>
      </c>
      <c r="X6">
        <v>596191924</v>
      </c>
      <c r="Y6">
        <v>0.288</v>
      </c>
      <c r="AA6">
        <v>0</v>
      </c>
      <c r="AB6">
        <v>698.33</v>
      </c>
      <c r="AC6">
        <v>0</v>
      </c>
      <c r="AD6">
        <v>0</v>
      </c>
      <c r="AE6">
        <v>0</v>
      </c>
      <c r="AF6">
        <v>698.33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1</v>
      </c>
      <c r="AQ6">
        <v>1</v>
      </c>
      <c r="AR6">
        <v>0</v>
      </c>
      <c r="AT6">
        <v>0.36</v>
      </c>
      <c r="AU6" t="s">
        <v>28</v>
      </c>
      <c r="AV6">
        <v>0</v>
      </c>
      <c r="AW6">
        <v>2</v>
      </c>
      <c r="AX6">
        <v>27243142</v>
      </c>
      <c r="AY6">
        <v>2</v>
      </c>
      <c r="AZ6">
        <v>98304</v>
      </c>
      <c r="BA6">
        <v>6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251.3988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201.11903999999998</v>
      </c>
      <c r="BS6">
        <v>0</v>
      </c>
      <c r="BT6">
        <v>0</v>
      </c>
      <c r="BU6">
        <v>0</v>
      </c>
      <c r="BV6">
        <v>0</v>
      </c>
      <c r="BW6">
        <v>1</v>
      </c>
      <c r="CX6">
        <f>Y6*Source!I25</f>
        <v>3.0527999999999995</v>
      </c>
      <c r="CY6">
        <f>AB6</f>
        <v>698.33</v>
      </c>
      <c r="CZ6">
        <f>AF6</f>
        <v>698.33</v>
      </c>
      <c r="DA6">
        <f>AJ6</f>
        <v>1</v>
      </c>
      <c r="DB6">
        <v>0</v>
      </c>
    </row>
    <row r="7" spans="1:106" ht="12.75">
      <c r="A7">
        <f>ROW(Source!A26)</f>
        <v>26</v>
      </c>
      <c r="B7">
        <v>27243028</v>
      </c>
      <c r="C7">
        <v>27243152</v>
      </c>
      <c r="D7">
        <v>9415666</v>
      </c>
      <c r="E7">
        <v>1</v>
      </c>
      <c r="F7">
        <v>1</v>
      </c>
      <c r="G7">
        <v>1</v>
      </c>
      <c r="H7">
        <v>1</v>
      </c>
      <c r="I7" t="s">
        <v>274</v>
      </c>
      <c r="K7" t="s">
        <v>275</v>
      </c>
      <c r="L7">
        <v>1369</v>
      </c>
      <c r="N7">
        <v>1013</v>
      </c>
      <c r="O7" t="s">
        <v>258</v>
      </c>
      <c r="P7" t="s">
        <v>258</v>
      </c>
      <c r="Q7">
        <v>1</v>
      </c>
      <c r="W7">
        <v>0</v>
      </c>
      <c r="X7">
        <v>-1371206905</v>
      </c>
      <c r="Y7">
        <v>40.824999999999996</v>
      </c>
      <c r="AA7">
        <v>0</v>
      </c>
      <c r="AB7">
        <v>0</v>
      </c>
      <c r="AC7">
        <v>0</v>
      </c>
      <c r="AD7">
        <v>128.9</v>
      </c>
      <c r="AE7">
        <v>0</v>
      </c>
      <c r="AF7">
        <v>0</v>
      </c>
      <c r="AG7">
        <v>0</v>
      </c>
      <c r="AH7">
        <v>128.9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1</v>
      </c>
      <c r="AQ7">
        <v>1</v>
      </c>
      <c r="AR7">
        <v>0</v>
      </c>
      <c r="AT7">
        <v>35.5</v>
      </c>
      <c r="AU7" t="s">
        <v>39</v>
      </c>
      <c r="AV7">
        <v>1</v>
      </c>
      <c r="AW7">
        <v>2</v>
      </c>
      <c r="AX7">
        <v>27243173</v>
      </c>
      <c r="AY7">
        <v>2</v>
      </c>
      <c r="AZ7">
        <v>131072</v>
      </c>
      <c r="BA7">
        <v>16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4575.95</v>
      </c>
      <c r="BN7">
        <v>35.5</v>
      </c>
      <c r="BO7">
        <v>0</v>
      </c>
      <c r="BP7">
        <v>1</v>
      </c>
      <c r="BQ7">
        <v>0</v>
      </c>
      <c r="BR7">
        <v>0</v>
      </c>
      <c r="BS7">
        <v>0</v>
      </c>
      <c r="BT7">
        <v>5262.3425</v>
      </c>
      <c r="BU7">
        <v>40.824999999999996</v>
      </c>
      <c r="BV7">
        <v>0</v>
      </c>
      <c r="BW7">
        <v>1</v>
      </c>
      <c r="CX7">
        <f>Y7*Source!I26</f>
        <v>25.638099999999998</v>
      </c>
      <c r="CY7">
        <f>AD7</f>
        <v>128.9</v>
      </c>
      <c r="CZ7">
        <f>AH7</f>
        <v>128.9</v>
      </c>
      <c r="DA7">
        <f>AL7</f>
        <v>1</v>
      </c>
      <c r="DB7">
        <v>0</v>
      </c>
    </row>
    <row r="8" spans="1:106" ht="12.75">
      <c r="A8">
        <f>ROW(Source!A26)</f>
        <v>26</v>
      </c>
      <c r="B8">
        <v>27243028</v>
      </c>
      <c r="C8">
        <v>27243152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23</v>
      </c>
      <c r="K8" t="s">
        <v>276</v>
      </c>
      <c r="L8">
        <v>608254</v>
      </c>
      <c r="N8">
        <v>1013</v>
      </c>
      <c r="O8" t="s">
        <v>277</v>
      </c>
      <c r="P8" t="s">
        <v>277</v>
      </c>
      <c r="Q8">
        <v>1</v>
      </c>
      <c r="W8">
        <v>0</v>
      </c>
      <c r="X8">
        <v>-185737400</v>
      </c>
      <c r="Y8">
        <v>3.2624999999999997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1</v>
      </c>
      <c r="AQ8">
        <v>1</v>
      </c>
      <c r="AR8">
        <v>0</v>
      </c>
      <c r="AT8">
        <v>2.61</v>
      </c>
      <c r="AU8" t="s">
        <v>38</v>
      </c>
      <c r="AV8">
        <v>2</v>
      </c>
      <c r="AW8">
        <v>2</v>
      </c>
      <c r="AX8">
        <v>27243174</v>
      </c>
      <c r="AY8">
        <v>1</v>
      </c>
      <c r="AZ8">
        <v>0</v>
      </c>
      <c r="BA8">
        <v>17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2.61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3.2624999999999997</v>
      </c>
      <c r="BW8">
        <v>1</v>
      </c>
      <c r="CX8">
        <f>Y8*Source!I26</f>
        <v>2.04885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ht="12.75">
      <c r="A9">
        <f>ROW(Source!A26)</f>
        <v>26</v>
      </c>
      <c r="B9">
        <v>27243028</v>
      </c>
      <c r="C9">
        <v>27243152</v>
      </c>
      <c r="D9">
        <v>24316122</v>
      </c>
      <c r="E9">
        <v>1</v>
      </c>
      <c r="F9">
        <v>1</v>
      </c>
      <c r="G9">
        <v>1</v>
      </c>
      <c r="H9">
        <v>2</v>
      </c>
      <c r="I9" t="s">
        <v>278</v>
      </c>
      <c r="J9" t="s">
        <v>279</v>
      </c>
      <c r="K9" t="s">
        <v>280</v>
      </c>
      <c r="L9">
        <v>1368</v>
      </c>
      <c r="N9">
        <v>1011</v>
      </c>
      <c r="O9" t="s">
        <v>262</v>
      </c>
      <c r="P9" t="s">
        <v>262</v>
      </c>
      <c r="Q9">
        <v>1</v>
      </c>
      <c r="W9">
        <v>0</v>
      </c>
      <c r="X9">
        <v>-1808231073</v>
      </c>
      <c r="Y9">
        <v>0.05</v>
      </c>
      <c r="AA9">
        <v>0</v>
      </c>
      <c r="AB9">
        <v>723.53</v>
      </c>
      <c r="AC9">
        <v>0</v>
      </c>
      <c r="AD9">
        <v>0</v>
      </c>
      <c r="AE9">
        <v>0</v>
      </c>
      <c r="AF9">
        <v>723.53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1</v>
      </c>
      <c r="AQ9">
        <v>1</v>
      </c>
      <c r="AR9">
        <v>0</v>
      </c>
      <c r="AT9">
        <v>0.04</v>
      </c>
      <c r="AU9" t="s">
        <v>38</v>
      </c>
      <c r="AV9">
        <v>0</v>
      </c>
      <c r="AW9">
        <v>2</v>
      </c>
      <c r="AX9">
        <v>27243175</v>
      </c>
      <c r="AY9">
        <v>2</v>
      </c>
      <c r="AZ9">
        <v>98304</v>
      </c>
      <c r="BA9">
        <v>18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28.9412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36.1765</v>
      </c>
      <c r="BS9">
        <v>0</v>
      </c>
      <c r="BT9">
        <v>0</v>
      </c>
      <c r="BU9">
        <v>0</v>
      </c>
      <c r="BV9">
        <v>0</v>
      </c>
      <c r="BW9">
        <v>1</v>
      </c>
      <c r="CX9">
        <f>Y9*Source!I26</f>
        <v>0.031400000000000004</v>
      </c>
      <c r="CY9">
        <f aca="true" t="shared" si="0" ref="CY9:CY17">AB9</f>
        <v>723.53</v>
      </c>
      <c r="CZ9">
        <f aca="true" t="shared" si="1" ref="CZ9:CZ17">AF9</f>
        <v>723.53</v>
      </c>
      <c r="DA9">
        <f aca="true" t="shared" si="2" ref="DA9:DA17">AJ9</f>
        <v>1</v>
      </c>
      <c r="DB9">
        <v>0</v>
      </c>
    </row>
    <row r="10" spans="1:106" ht="12.75">
      <c r="A10">
        <f>ROW(Source!A26)</f>
        <v>26</v>
      </c>
      <c r="B10">
        <v>27243028</v>
      </c>
      <c r="C10">
        <v>27243152</v>
      </c>
      <c r="D10">
        <v>24262159</v>
      </c>
      <c r="E10">
        <v>1</v>
      </c>
      <c r="F10">
        <v>1</v>
      </c>
      <c r="G10">
        <v>1</v>
      </c>
      <c r="H10">
        <v>2</v>
      </c>
      <c r="I10" t="s">
        <v>281</v>
      </c>
      <c r="J10" t="s">
        <v>282</v>
      </c>
      <c r="K10" t="s">
        <v>283</v>
      </c>
      <c r="L10">
        <v>1368</v>
      </c>
      <c r="N10">
        <v>1011</v>
      </c>
      <c r="O10" t="s">
        <v>262</v>
      </c>
      <c r="P10" t="s">
        <v>262</v>
      </c>
      <c r="Q10">
        <v>1</v>
      </c>
      <c r="W10">
        <v>0</v>
      </c>
      <c r="X10">
        <v>-727480001</v>
      </c>
      <c r="Y10">
        <v>0.2625</v>
      </c>
      <c r="AA10">
        <v>0</v>
      </c>
      <c r="AB10">
        <v>636.03</v>
      </c>
      <c r="AC10">
        <v>0</v>
      </c>
      <c r="AD10">
        <v>0</v>
      </c>
      <c r="AE10">
        <v>0</v>
      </c>
      <c r="AF10">
        <v>636.03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1</v>
      </c>
      <c r="AQ10">
        <v>1</v>
      </c>
      <c r="AR10">
        <v>0</v>
      </c>
      <c r="AT10">
        <v>0.21</v>
      </c>
      <c r="AU10" t="s">
        <v>38</v>
      </c>
      <c r="AV10">
        <v>0</v>
      </c>
      <c r="AW10">
        <v>2</v>
      </c>
      <c r="AX10">
        <v>27243176</v>
      </c>
      <c r="AY10">
        <v>2</v>
      </c>
      <c r="AZ10">
        <v>98304</v>
      </c>
      <c r="BA10">
        <v>19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133.56629999999998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166.957875</v>
      </c>
      <c r="BS10">
        <v>0</v>
      </c>
      <c r="BT10">
        <v>0</v>
      </c>
      <c r="BU10">
        <v>0</v>
      </c>
      <c r="BV10">
        <v>0</v>
      </c>
      <c r="BW10">
        <v>1</v>
      </c>
      <c r="CX10">
        <f>Y10*Source!I26</f>
        <v>0.16485</v>
      </c>
      <c r="CY10">
        <f t="shared" si="0"/>
        <v>636.03</v>
      </c>
      <c r="CZ10">
        <f t="shared" si="1"/>
        <v>636.03</v>
      </c>
      <c r="DA10">
        <f t="shared" si="2"/>
        <v>1</v>
      </c>
      <c r="DB10">
        <v>0</v>
      </c>
    </row>
    <row r="11" spans="1:106" ht="12.75">
      <c r="A11">
        <f>ROW(Source!A26)</f>
        <v>26</v>
      </c>
      <c r="B11">
        <v>27243028</v>
      </c>
      <c r="C11">
        <v>27243152</v>
      </c>
      <c r="D11">
        <v>24293024</v>
      </c>
      <c r="E11">
        <v>1</v>
      </c>
      <c r="F11">
        <v>1</v>
      </c>
      <c r="G11">
        <v>1</v>
      </c>
      <c r="H11">
        <v>2</v>
      </c>
      <c r="I11" t="s">
        <v>284</v>
      </c>
      <c r="J11" t="s">
        <v>285</v>
      </c>
      <c r="K11" t="s">
        <v>286</v>
      </c>
      <c r="L11">
        <v>1368</v>
      </c>
      <c r="N11">
        <v>1011</v>
      </c>
      <c r="O11" t="s">
        <v>262</v>
      </c>
      <c r="P11" t="s">
        <v>262</v>
      </c>
      <c r="Q11">
        <v>1</v>
      </c>
      <c r="W11">
        <v>0</v>
      </c>
      <c r="X11">
        <v>-1429022464</v>
      </c>
      <c r="Y11">
        <v>2.9499999999999997</v>
      </c>
      <c r="AA11">
        <v>0</v>
      </c>
      <c r="AB11">
        <v>923.13</v>
      </c>
      <c r="AC11">
        <v>0</v>
      </c>
      <c r="AD11">
        <v>0</v>
      </c>
      <c r="AE11">
        <v>0</v>
      </c>
      <c r="AF11">
        <v>923.13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1</v>
      </c>
      <c r="AQ11">
        <v>1</v>
      </c>
      <c r="AR11">
        <v>0</v>
      </c>
      <c r="AT11">
        <v>2.36</v>
      </c>
      <c r="AU11" t="s">
        <v>38</v>
      </c>
      <c r="AV11">
        <v>0</v>
      </c>
      <c r="AW11">
        <v>2</v>
      </c>
      <c r="AX11">
        <v>27243177</v>
      </c>
      <c r="AY11">
        <v>2</v>
      </c>
      <c r="AZ11">
        <v>98304</v>
      </c>
      <c r="BA11">
        <v>20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2178.5868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0</v>
      </c>
      <c r="BR11">
        <v>2723.2335</v>
      </c>
      <c r="BS11">
        <v>0</v>
      </c>
      <c r="BT11">
        <v>0</v>
      </c>
      <c r="BU11">
        <v>0</v>
      </c>
      <c r="BV11">
        <v>0</v>
      </c>
      <c r="BW11">
        <v>1</v>
      </c>
      <c r="CX11">
        <f>Y11*Source!I26</f>
        <v>1.8525999999999998</v>
      </c>
      <c r="CY11">
        <f t="shared" si="0"/>
        <v>923.13</v>
      </c>
      <c r="CZ11">
        <f t="shared" si="1"/>
        <v>923.13</v>
      </c>
      <c r="DA11">
        <f t="shared" si="2"/>
        <v>1</v>
      </c>
      <c r="DB11">
        <v>0</v>
      </c>
    </row>
    <row r="12" spans="1:106" ht="12.75">
      <c r="A12">
        <f>ROW(Source!A26)</f>
        <v>26</v>
      </c>
      <c r="B12">
        <v>27243028</v>
      </c>
      <c r="C12">
        <v>27243152</v>
      </c>
      <c r="D12">
        <v>24285202</v>
      </c>
      <c r="E12">
        <v>1</v>
      </c>
      <c r="F12">
        <v>1</v>
      </c>
      <c r="G12">
        <v>1</v>
      </c>
      <c r="H12">
        <v>2</v>
      </c>
      <c r="I12" t="s">
        <v>287</v>
      </c>
      <c r="J12" t="s">
        <v>288</v>
      </c>
      <c r="K12" t="s">
        <v>289</v>
      </c>
      <c r="L12">
        <v>1368</v>
      </c>
      <c r="N12">
        <v>1011</v>
      </c>
      <c r="O12" t="s">
        <v>262</v>
      </c>
      <c r="P12" t="s">
        <v>262</v>
      </c>
      <c r="Q12">
        <v>1</v>
      </c>
      <c r="W12">
        <v>0</v>
      </c>
      <c r="X12">
        <v>158986636</v>
      </c>
      <c r="Y12">
        <v>1.2375</v>
      </c>
      <c r="AA12">
        <v>0</v>
      </c>
      <c r="AB12">
        <v>8.44</v>
      </c>
      <c r="AC12">
        <v>0</v>
      </c>
      <c r="AD12">
        <v>0</v>
      </c>
      <c r="AE12">
        <v>0</v>
      </c>
      <c r="AF12">
        <v>8.44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1</v>
      </c>
      <c r="AQ12">
        <v>1</v>
      </c>
      <c r="AR12">
        <v>0</v>
      </c>
      <c r="AT12">
        <v>0.99</v>
      </c>
      <c r="AU12" t="s">
        <v>38</v>
      </c>
      <c r="AV12">
        <v>0</v>
      </c>
      <c r="AW12">
        <v>2</v>
      </c>
      <c r="AX12">
        <v>27243178</v>
      </c>
      <c r="AY12">
        <v>2</v>
      </c>
      <c r="AZ12">
        <v>32768</v>
      </c>
      <c r="BA12">
        <v>21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8.355599999999999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10.4445</v>
      </c>
      <c r="BS12">
        <v>0</v>
      </c>
      <c r="BT12">
        <v>0</v>
      </c>
      <c r="BU12">
        <v>0</v>
      </c>
      <c r="BV12">
        <v>0</v>
      </c>
      <c r="BW12">
        <v>1</v>
      </c>
      <c r="CX12">
        <f>Y12*Source!I26</f>
        <v>0.77715</v>
      </c>
      <c r="CY12">
        <f t="shared" si="0"/>
        <v>8.44</v>
      </c>
      <c r="CZ12">
        <f t="shared" si="1"/>
        <v>8.44</v>
      </c>
      <c r="DA12">
        <f t="shared" si="2"/>
        <v>1</v>
      </c>
      <c r="DB12">
        <v>0</v>
      </c>
    </row>
    <row r="13" spans="1:106" ht="12.75">
      <c r="A13">
        <f>ROW(Source!A26)</f>
        <v>26</v>
      </c>
      <c r="B13">
        <v>27243028</v>
      </c>
      <c r="C13">
        <v>27243152</v>
      </c>
      <c r="D13">
        <v>24270272</v>
      </c>
      <c r="E13">
        <v>1</v>
      </c>
      <c r="F13">
        <v>1</v>
      </c>
      <c r="G13">
        <v>1</v>
      </c>
      <c r="H13">
        <v>2</v>
      </c>
      <c r="I13" t="s">
        <v>290</v>
      </c>
      <c r="J13" t="s">
        <v>291</v>
      </c>
      <c r="K13" t="s">
        <v>292</v>
      </c>
      <c r="L13">
        <v>1368</v>
      </c>
      <c r="N13">
        <v>1011</v>
      </c>
      <c r="O13" t="s">
        <v>262</v>
      </c>
      <c r="P13" t="s">
        <v>262</v>
      </c>
      <c r="Q13">
        <v>1</v>
      </c>
      <c r="W13">
        <v>0</v>
      </c>
      <c r="X13">
        <v>1075212921</v>
      </c>
      <c r="Y13">
        <v>2.1</v>
      </c>
      <c r="AA13">
        <v>0</v>
      </c>
      <c r="AB13">
        <v>5.98</v>
      </c>
      <c r="AC13">
        <v>0</v>
      </c>
      <c r="AD13">
        <v>0</v>
      </c>
      <c r="AE13">
        <v>0</v>
      </c>
      <c r="AF13">
        <v>5.98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1</v>
      </c>
      <c r="AQ13">
        <v>1</v>
      </c>
      <c r="AR13">
        <v>0</v>
      </c>
      <c r="AT13">
        <v>1.68</v>
      </c>
      <c r="AU13" t="s">
        <v>38</v>
      </c>
      <c r="AV13">
        <v>0</v>
      </c>
      <c r="AW13">
        <v>2</v>
      </c>
      <c r="AX13">
        <v>27243179</v>
      </c>
      <c r="AY13">
        <v>2</v>
      </c>
      <c r="AZ13">
        <v>32768</v>
      </c>
      <c r="BA13">
        <v>22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10.0464</v>
      </c>
      <c r="BL13">
        <v>0</v>
      </c>
      <c r="BM13">
        <v>0</v>
      </c>
      <c r="BN13">
        <v>0</v>
      </c>
      <c r="BO13">
        <v>0</v>
      </c>
      <c r="BP13">
        <v>1</v>
      </c>
      <c r="BQ13">
        <v>0</v>
      </c>
      <c r="BR13">
        <v>12.558000000000002</v>
      </c>
      <c r="BS13">
        <v>0</v>
      </c>
      <c r="BT13">
        <v>0</v>
      </c>
      <c r="BU13">
        <v>0</v>
      </c>
      <c r="BV13">
        <v>0</v>
      </c>
      <c r="BW13">
        <v>1</v>
      </c>
      <c r="CX13">
        <f>Y13*Source!I26</f>
        <v>1.3188</v>
      </c>
      <c r="CY13">
        <f t="shared" si="0"/>
        <v>5.98</v>
      </c>
      <c r="CZ13">
        <f t="shared" si="1"/>
        <v>5.98</v>
      </c>
      <c r="DA13">
        <f t="shared" si="2"/>
        <v>1</v>
      </c>
      <c r="DB13">
        <v>0</v>
      </c>
    </row>
    <row r="14" spans="1:106" ht="12.75">
      <c r="A14">
        <f>ROW(Source!A26)</f>
        <v>26</v>
      </c>
      <c r="B14">
        <v>27243028</v>
      </c>
      <c r="C14">
        <v>27243152</v>
      </c>
      <c r="D14">
        <v>24298562</v>
      </c>
      <c r="E14">
        <v>1</v>
      </c>
      <c r="F14">
        <v>1</v>
      </c>
      <c r="G14">
        <v>1</v>
      </c>
      <c r="H14">
        <v>2</v>
      </c>
      <c r="I14" t="s">
        <v>293</v>
      </c>
      <c r="J14" t="s">
        <v>294</v>
      </c>
      <c r="K14" t="s">
        <v>295</v>
      </c>
      <c r="L14">
        <v>1368</v>
      </c>
      <c r="N14">
        <v>1011</v>
      </c>
      <c r="O14" t="s">
        <v>262</v>
      </c>
      <c r="P14" t="s">
        <v>262</v>
      </c>
      <c r="Q14">
        <v>1</v>
      </c>
      <c r="W14">
        <v>0</v>
      </c>
      <c r="X14">
        <v>2080940917</v>
      </c>
      <c r="Y14">
        <v>0.22499999999999998</v>
      </c>
      <c r="AA14">
        <v>0</v>
      </c>
      <c r="AB14">
        <v>96.21</v>
      </c>
      <c r="AC14">
        <v>0</v>
      </c>
      <c r="AD14">
        <v>0</v>
      </c>
      <c r="AE14">
        <v>0</v>
      </c>
      <c r="AF14">
        <v>96.21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1</v>
      </c>
      <c r="AQ14">
        <v>1</v>
      </c>
      <c r="AR14">
        <v>0</v>
      </c>
      <c r="AT14">
        <v>0.18</v>
      </c>
      <c r="AU14" t="s">
        <v>38</v>
      </c>
      <c r="AV14">
        <v>0</v>
      </c>
      <c r="AW14">
        <v>2</v>
      </c>
      <c r="AX14">
        <v>27243180</v>
      </c>
      <c r="AY14">
        <v>2</v>
      </c>
      <c r="AZ14">
        <v>32768</v>
      </c>
      <c r="BA14">
        <v>23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17.3178</v>
      </c>
      <c r="BL14">
        <v>0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21.647249999999996</v>
      </c>
      <c r="BS14">
        <v>0</v>
      </c>
      <c r="BT14">
        <v>0</v>
      </c>
      <c r="BU14">
        <v>0</v>
      </c>
      <c r="BV14">
        <v>0</v>
      </c>
      <c r="BW14">
        <v>1</v>
      </c>
      <c r="CX14">
        <f>Y14*Source!I26</f>
        <v>0.14129999999999998</v>
      </c>
      <c r="CY14">
        <f t="shared" si="0"/>
        <v>96.21</v>
      </c>
      <c r="CZ14">
        <f t="shared" si="1"/>
        <v>96.21</v>
      </c>
      <c r="DA14">
        <f t="shared" si="2"/>
        <v>1</v>
      </c>
      <c r="DB14">
        <v>0</v>
      </c>
    </row>
    <row r="15" spans="1:106" ht="12.75">
      <c r="A15">
        <f>ROW(Source!A26)</f>
        <v>26</v>
      </c>
      <c r="B15">
        <v>27243028</v>
      </c>
      <c r="C15">
        <v>27243152</v>
      </c>
      <c r="D15">
        <v>24316474</v>
      </c>
      <c r="E15">
        <v>1</v>
      </c>
      <c r="F15">
        <v>1</v>
      </c>
      <c r="G15">
        <v>1</v>
      </c>
      <c r="H15">
        <v>2</v>
      </c>
      <c r="I15" t="s">
        <v>296</v>
      </c>
      <c r="J15" t="s">
        <v>297</v>
      </c>
      <c r="K15" t="s">
        <v>298</v>
      </c>
      <c r="L15">
        <v>1368</v>
      </c>
      <c r="N15">
        <v>1011</v>
      </c>
      <c r="O15" t="s">
        <v>262</v>
      </c>
      <c r="P15" t="s">
        <v>262</v>
      </c>
      <c r="Q15">
        <v>1</v>
      </c>
      <c r="W15">
        <v>0</v>
      </c>
      <c r="X15">
        <v>-216983640</v>
      </c>
      <c r="Y15">
        <v>0.025</v>
      </c>
      <c r="AA15">
        <v>0</v>
      </c>
      <c r="AB15">
        <v>59.49</v>
      </c>
      <c r="AC15">
        <v>0</v>
      </c>
      <c r="AD15">
        <v>0</v>
      </c>
      <c r="AE15">
        <v>0</v>
      </c>
      <c r="AF15">
        <v>59.49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1</v>
      </c>
      <c r="AQ15">
        <v>1</v>
      </c>
      <c r="AR15">
        <v>0</v>
      </c>
      <c r="AT15">
        <v>0.02</v>
      </c>
      <c r="AU15" t="s">
        <v>38</v>
      </c>
      <c r="AV15">
        <v>0</v>
      </c>
      <c r="AW15">
        <v>2</v>
      </c>
      <c r="AX15">
        <v>27243181</v>
      </c>
      <c r="AY15">
        <v>2</v>
      </c>
      <c r="AZ15">
        <v>32768</v>
      </c>
      <c r="BA15">
        <v>24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1.1898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1.4872500000000002</v>
      </c>
      <c r="BS15">
        <v>0</v>
      </c>
      <c r="BT15">
        <v>0</v>
      </c>
      <c r="BU15">
        <v>0</v>
      </c>
      <c r="BV15">
        <v>0</v>
      </c>
      <c r="BW15">
        <v>1</v>
      </c>
      <c r="CX15">
        <f>Y15*Source!I26</f>
        <v>0.015700000000000002</v>
      </c>
      <c r="CY15">
        <f t="shared" si="0"/>
        <v>59.49</v>
      </c>
      <c r="CZ15">
        <f t="shared" si="1"/>
        <v>59.49</v>
      </c>
      <c r="DA15">
        <f t="shared" si="2"/>
        <v>1</v>
      </c>
      <c r="DB15">
        <v>0</v>
      </c>
    </row>
    <row r="16" spans="1:106" ht="12.75">
      <c r="A16">
        <f>ROW(Source!A26)</f>
        <v>26</v>
      </c>
      <c r="B16">
        <v>27243028</v>
      </c>
      <c r="C16">
        <v>27243152</v>
      </c>
      <c r="D16">
        <v>24281578</v>
      </c>
      <c r="E16">
        <v>1</v>
      </c>
      <c r="F16">
        <v>1</v>
      </c>
      <c r="G16">
        <v>1</v>
      </c>
      <c r="H16">
        <v>2</v>
      </c>
      <c r="I16" t="s">
        <v>265</v>
      </c>
      <c r="J16" t="s">
        <v>266</v>
      </c>
      <c r="K16" t="s">
        <v>267</v>
      </c>
      <c r="L16">
        <v>1368</v>
      </c>
      <c r="N16">
        <v>1011</v>
      </c>
      <c r="O16" t="s">
        <v>262</v>
      </c>
      <c r="P16" t="s">
        <v>262</v>
      </c>
      <c r="Q16">
        <v>1</v>
      </c>
      <c r="W16">
        <v>0</v>
      </c>
      <c r="X16">
        <v>1436808103</v>
      </c>
      <c r="Y16">
        <v>3.0125</v>
      </c>
      <c r="AA16">
        <v>0</v>
      </c>
      <c r="AB16">
        <v>7.94</v>
      </c>
      <c r="AC16">
        <v>0</v>
      </c>
      <c r="AD16">
        <v>0</v>
      </c>
      <c r="AE16">
        <v>0</v>
      </c>
      <c r="AF16">
        <v>7.94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1</v>
      </c>
      <c r="AQ16">
        <v>1</v>
      </c>
      <c r="AR16">
        <v>0</v>
      </c>
      <c r="AT16">
        <v>2.41</v>
      </c>
      <c r="AU16" t="s">
        <v>38</v>
      </c>
      <c r="AV16">
        <v>0</v>
      </c>
      <c r="AW16">
        <v>2</v>
      </c>
      <c r="AX16">
        <v>27243182</v>
      </c>
      <c r="AY16">
        <v>2</v>
      </c>
      <c r="AZ16">
        <v>32768</v>
      </c>
      <c r="BA16">
        <v>25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19.1354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R16">
        <v>23.91925</v>
      </c>
      <c r="BS16">
        <v>0</v>
      </c>
      <c r="BT16">
        <v>0</v>
      </c>
      <c r="BU16">
        <v>0</v>
      </c>
      <c r="BV16">
        <v>0</v>
      </c>
      <c r="BW16">
        <v>1</v>
      </c>
      <c r="CX16">
        <f>Y16*Source!I26</f>
        <v>1.89185</v>
      </c>
      <c r="CY16">
        <f t="shared" si="0"/>
        <v>7.94</v>
      </c>
      <c r="CZ16">
        <f t="shared" si="1"/>
        <v>7.94</v>
      </c>
      <c r="DA16">
        <f t="shared" si="2"/>
        <v>1</v>
      </c>
      <c r="DB16">
        <v>0</v>
      </c>
    </row>
    <row r="17" spans="1:106" ht="12.75">
      <c r="A17">
        <f>ROW(Source!A26)</f>
        <v>26</v>
      </c>
      <c r="B17">
        <v>27243028</v>
      </c>
      <c r="C17">
        <v>27243152</v>
      </c>
      <c r="D17">
        <v>24262102</v>
      </c>
      <c r="E17">
        <v>1</v>
      </c>
      <c r="F17">
        <v>1</v>
      </c>
      <c r="G17">
        <v>1</v>
      </c>
      <c r="H17">
        <v>2</v>
      </c>
      <c r="I17" t="s">
        <v>271</v>
      </c>
      <c r="J17" t="s">
        <v>272</v>
      </c>
      <c r="K17" t="s">
        <v>273</v>
      </c>
      <c r="L17">
        <v>1368</v>
      </c>
      <c r="N17">
        <v>1011</v>
      </c>
      <c r="O17" t="s">
        <v>262</v>
      </c>
      <c r="P17" t="s">
        <v>262</v>
      </c>
      <c r="Q17">
        <v>1</v>
      </c>
      <c r="W17">
        <v>0</v>
      </c>
      <c r="X17">
        <v>596191924</v>
      </c>
      <c r="Y17">
        <v>0.4</v>
      </c>
      <c r="AA17">
        <v>0</v>
      </c>
      <c r="AB17">
        <v>698.33</v>
      </c>
      <c r="AC17">
        <v>0</v>
      </c>
      <c r="AD17">
        <v>0</v>
      </c>
      <c r="AE17">
        <v>0</v>
      </c>
      <c r="AF17">
        <v>698.33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1</v>
      </c>
      <c r="AQ17">
        <v>1</v>
      </c>
      <c r="AR17">
        <v>0</v>
      </c>
      <c r="AT17">
        <v>0.32</v>
      </c>
      <c r="AU17" t="s">
        <v>38</v>
      </c>
      <c r="AV17">
        <v>0</v>
      </c>
      <c r="AW17">
        <v>2</v>
      </c>
      <c r="AX17">
        <v>27243183</v>
      </c>
      <c r="AY17">
        <v>2</v>
      </c>
      <c r="AZ17">
        <v>98304</v>
      </c>
      <c r="BA17">
        <v>26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223.46560000000002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279.33200000000005</v>
      </c>
      <c r="BS17">
        <v>0</v>
      </c>
      <c r="BT17">
        <v>0</v>
      </c>
      <c r="BU17">
        <v>0</v>
      </c>
      <c r="BV17">
        <v>0</v>
      </c>
      <c r="BW17">
        <v>1</v>
      </c>
      <c r="CX17">
        <f>Y17*Source!I26</f>
        <v>0.25120000000000003</v>
      </c>
      <c r="CY17">
        <f t="shared" si="0"/>
        <v>698.33</v>
      </c>
      <c r="CZ17">
        <f t="shared" si="1"/>
        <v>698.33</v>
      </c>
      <c r="DA17">
        <f t="shared" si="2"/>
        <v>1</v>
      </c>
      <c r="DB17">
        <v>0</v>
      </c>
    </row>
    <row r="18" spans="1:106" ht="12.75">
      <c r="A18">
        <f>ROW(Source!A26)</f>
        <v>26</v>
      </c>
      <c r="B18">
        <v>27243028</v>
      </c>
      <c r="C18">
        <v>27243152</v>
      </c>
      <c r="D18">
        <v>24270256</v>
      </c>
      <c r="E18">
        <v>1</v>
      </c>
      <c r="F18">
        <v>1</v>
      </c>
      <c r="G18">
        <v>1</v>
      </c>
      <c r="H18">
        <v>3</v>
      </c>
      <c r="I18" t="s">
        <v>299</v>
      </c>
      <c r="J18" t="s">
        <v>300</v>
      </c>
      <c r="K18" t="s">
        <v>301</v>
      </c>
      <c r="L18">
        <v>1339</v>
      </c>
      <c r="N18">
        <v>1007</v>
      </c>
      <c r="O18" t="s">
        <v>302</v>
      </c>
      <c r="P18" t="s">
        <v>302</v>
      </c>
      <c r="Q18">
        <v>1</v>
      </c>
      <c r="W18">
        <v>0</v>
      </c>
      <c r="X18">
        <v>1626293865</v>
      </c>
      <c r="Y18">
        <v>1.4</v>
      </c>
      <c r="AA18">
        <v>43</v>
      </c>
      <c r="AB18">
        <v>0</v>
      </c>
      <c r="AC18">
        <v>0</v>
      </c>
      <c r="AD18">
        <v>0</v>
      </c>
      <c r="AE18">
        <v>43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1</v>
      </c>
      <c r="AR18">
        <v>0</v>
      </c>
      <c r="AT18">
        <v>1.4</v>
      </c>
      <c r="AV18">
        <v>0</v>
      </c>
      <c r="AW18">
        <v>2</v>
      </c>
      <c r="AX18">
        <v>27243185</v>
      </c>
      <c r="AY18">
        <v>2</v>
      </c>
      <c r="AZ18">
        <v>16384</v>
      </c>
      <c r="BA18">
        <v>28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60.199999999999996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60.199999999999996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1</v>
      </c>
      <c r="CX18">
        <f>Y18*Source!I26</f>
        <v>0.8792</v>
      </c>
      <c r="CY18">
        <f aca="true" t="shared" si="3" ref="CY18:CY26">AA18</f>
        <v>43</v>
      </c>
      <c r="CZ18">
        <f aca="true" t="shared" si="4" ref="CZ18:CZ26">AE18</f>
        <v>43</v>
      </c>
      <c r="DA18">
        <f aca="true" t="shared" si="5" ref="DA18:DA26">AI18</f>
        <v>1</v>
      </c>
      <c r="DB18">
        <v>0</v>
      </c>
    </row>
    <row r="19" spans="1:106" ht="12.75">
      <c r="A19">
        <f>ROW(Source!A26)</f>
        <v>26</v>
      </c>
      <c r="B19">
        <v>27243028</v>
      </c>
      <c r="C19">
        <v>27243152</v>
      </c>
      <c r="D19">
        <v>24264207</v>
      </c>
      <c r="E19">
        <v>1</v>
      </c>
      <c r="F19">
        <v>1</v>
      </c>
      <c r="G19">
        <v>1</v>
      </c>
      <c r="H19">
        <v>3</v>
      </c>
      <c r="I19" t="s">
        <v>303</v>
      </c>
      <c r="J19" t="s">
        <v>304</v>
      </c>
      <c r="K19" t="s">
        <v>305</v>
      </c>
      <c r="L19">
        <v>1348</v>
      </c>
      <c r="N19">
        <v>1009</v>
      </c>
      <c r="O19" t="s">
        <v>100</v>
      </c>
      <c r="P19" t="s">
        <v>100</v>
      </c>
      <c r="Q19">
        <v>1000</v>
      </c>
      <c r="W19">
        <v>0</v>
      </c>
      <c r="X19">
        <v>1887229518</v>
      </c>
      <c r="Y19">
        <v>4E-05</v>
      </c>
      <c r="AA19">
        <v>68136</v>
      </c>
      <c r="AB19">
        <v>0</v>
      </c>
      <c r="AC19">
        <v>0</v>
      </c>
      <c r="AD19">
        <v>0</v>
      </c>
      <c r="AE19">
        <v>68136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1</v>
      </c>
      <c r="AR19">
        <v>0</v>
      </c>
      <c r="AT19">
        <v>4E-05</v>
      </c>
      <c r="AV19">
        <v>0</v>
      </c>
      <c r="AW19">
        <v>2</v>
      </c>
      <c r="AX19">
        <v>27243186</v>
      </c>
      <c r="AY19">
        <v>2</v>
      </c>
      <c r="AZ19">
        <v>16384</v>
      </c>
      <c r="BA19">
        <v>29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2.7254400000000003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2.7254400000000003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1</v>
      </c>
      <c r="CX19">
        <f>Y19*Source!I26</f>
        <v>2.5120000000000003E-05</v>
      </c>
      <c r="CY19">
        <f t="shared" si="3"/>
        <v>68136</v>
      </c>
      <c r="CZ19">
        <f t="shared" si="4"/>
        <v>68136</v>
      </c>
      <c r="DA19">
        <f t="shared" si="5"/>
        <v>1</v>
      </c>
      <c r="DB19">
        <v>0</v>
      </c>
    </row>
    <row r="20" spans="1:106" ht="12.75">
      <c r="A20">
        <f>ROW(Source!A26)</f>
        <v>26</v>
      </c>
      <c r="B20">
        <v>27243028</v>
      </c>
      <c r="C20">
        <v>27243152</v>
      </c>
      <c r="D20">
        <v>24289060</v>
      </c>
      <c r="E20">
        <v>1</v>
      </c>
      <c r="F20">
        <v>1</v>
      </c>
      <c r="G20">
        <v>1</v>
      </c>
      <c r="H20">
        <v>3</v>
      </c>
      <c r="I20" t="s">
        <v>306</v>
      </c>
      <c r="J20" t="s">
        <v>307</v>
      </c>
      <c r="K20" t="s">
        <v>308</v>
      </c>
      <c r="L20">
        <v>1348</v>
      </c>
      <c r="N20">
        <v>1009</v>
      </c>
      <c r="O20" t="s">
        <v>100</v>
      </c>
      <c r="P20" t="s">
        <v>100</v>
      </c>
      <c r="Q20">
        <v>1000</v>
      </c>
      <c r="W20">
        <v>0</v>
      </c>
      <c r="X20">
        <v>-1207479842</v>
      </c>
      <c r="Y20">
        <v>0.00061</v>
      </c>
      <c r="AA20">
        <v>73728.6</v>
      </c>
      <c r="AB20">
        <v>0</v>
      </c>
      <c r="AC20">
        <v>0</v>
      </c>
      <c r="AD20">
        <v>0</v>
      </c>
      <c r="AE20">
        <v>73728.6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1</v>
      </c>
      <c r="AR20">
        <v>0</v>
      </c>
      <c r="AT20">
        <v>0.00061</v>
      </c>
      <c r="AV20">
        <v>0</v>
      </c>
      <c r="AW20">
        <v>2</v>
      </c>
      <c r="AX20">
        <v>27243188</v>
      </c>
      <c r="AY20">
        <v>2</v>
      </c>
      <c r="AZ20">
        <v>16384</v>
      </c>
      <c r="BA20">
        <v>31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44.974446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44.974446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</v>
      </c>
      <c r="CX20">
        <f>Y20*Source!I26</f>
        <v>0.00038308</v>
      </c>
      <c r="CY20">
        <f t="shared" si="3"/>
        <v>73728.6</v>
      </c>
      <c r="CZ20">
        <f t="shared" si="4"/>
        <v>73728.6</v>
      </c>
      <c r="DA20">
        <f t="shared" si="5"/>
        <v>1</v>
      </c>
      <c r="DB20">
        <v>0</v>
      </c>
    </row>
    <row r="21" spans="1:106" ht="12.75">
      <c r="A21">
        <f>ROW(Source!A26)</f>
        <v>26</v>
      </c>
      <c r="B21">
        <v>27243028</v>
      </c>
      <c r="C21">
        <v>27243152</v>
      </c>
      <c r="D21">
        <v>24262125</v>
      </c>
      <c r="E21">
        <v>1</v>
      </c>
      <c r="F21">
        <v>1</v>
      </c>
      <c r="G21">
        <v>1</v>
      </c>
      <c r="H21">
        <v>3</v>
      </c>
      <c r="I21" t="s">
        <v>309</v>
      </c>
      <c r="J21" t="s">
        <v>310</v>
      </c>
      <c r="K21" t="s">
        <v>311</v>
      </c>
      <c r="L21">
        <v>1348</v>
      </c>
      <c r="N21">
        <v>1009</v>
      </c>
      <c r="O21" t="s">
        <v>100</v>
      </c>
      <c r="P21" t="s">
        <v>100</v>
      </c>
      <c r="Q21">
        <v>1000</v>
      </c>
      <c r="W21">
        <v>0</v>
      </c>
      <c r="X21">
        <v>-92979198</v>
      </c>
      <c r="Y21">
        <v>0.0022</v>
      </c>
      <c r="AA21">
        <v>98305.08</v>
      </c>
      <c r="AB21">
        <v>0</v>
      </c>
      <c r="AC21">
        <v>0</v>
      </c>
      <c r="AD21">
        <v>0</v>
      </c>
      <c r="AE21">
        <v>98305.08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1</v>
      </c>
      <c r="AR21">
        <v>0</v>
      </c>
      <c r="AT21">
        <v>0.0022</v>
      </c>
      <c r="AV21">
        <v>0</v>
      </c>
      <c r="AW21">
        <v>2</v>
      </c>
      <c r="AX21">
        <v>27243189</v>
      </c>
      <c r="AY21">
        <v>2</v>
      </c>
      <c r="AZ21">
        <v>16384</v>
      </c>
      <c r="BA21">
        <v>32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216.27117600000003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216.27117600000003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</v>
      </c>
      <c r="CX21">
        <f>Y21*Source!I26</f>
        <v>0.0013816000000000002</v>
      </c>
      <c r="CY21">
        <f t="shared" si="3"/>
        <v>98305.08</v>
      </c>
      <c r="CZ21">
        <f t="shared" si="4"/>
        <v>98305.08</v>
      </c>
      <c r="DA21">
        <f t="shared" si="5"/>
        <v>1</v>
      </c>
      <c r="DB21">
        <v>0</v>
      </c>
    </row>
    <row r="22" spans="1:106" ht="12.75">
      <c r="A22">
        <f>ROW(Source!A26)</f>
        <v>26</v>
      </c>
      <c r="B22">
        <v>27243028</v>
      </c>
      <c r="C22">
        <v>27243152</v>
      </c>
      <c r="D22">
        <v>24285323</v>
      </c>
      <c r="E22">
        <v>1</v>
      </c>
      <c r="F22">
        <v>1</v>
      </c>
      <c r="G22">
        <v>1</v>
      </c>
      <c r="H22">
        <v>3</v>
      </c>
      <c r="I22" t="s">
        <v>312</v>
      </c>
      <c r="J22" t="s">
        <v>313</v>
      </c>
      <c r="K22" t="s">
        <v>314</v>
      </c>
      <c r="L22">
        <v>1346</v>
      </c>
      <c r="N22">
        <v>1009</v>
      </c>
      <c r="O22" t="s">
        <v>315</v>
      </c>
      <c r="P22" t="s">
        <v>315</v>
      </c>
      <c r="Q22">
        <v>1</v>
      </c>
      <c r="W22">
        <v>0</v>
      </c>
      <c r="X22">
        <v>1525406613</v>
      </c>
      <c r="Y22">
        <v>0.42</v>
      </c>
      <c r="AA22">
        <v>35</v>
      </c>
      <c r="AB22">
        <v>0</v>
      </c>
      <c r="AC22">
        <v>0</v>
      </c>
      <c r="AD22">
        <v>0</v>
      </c>
      <c r="AE22">
        <v>35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1</v>
      </c>
      <c r="AR22">
        <v>0</v>
      </c>
      <c r="AT22">
        <v>0.42</v>
      </c>
      <c r="AV22">
        <v>0</v>
      </c>
      <c r="AW22">
        <v>2</v>
      </c>
      <c r="AX22">
        <v>27243190</v>
      </c>
      <c r="AY22">
        <v>2</v>
      </c>
      <c r="AZ22">
        <v>16384</v>
      </c>
      <c r="BA22">
        <v>33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14.7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14.7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1</v>
      </c>
      <c r="CX22">
        <f>Y22*Source!I26</f>
        <v>0.26376</v>
      </c>
      <c r="CY22">
        <f t="shared" si="3"/>
        <v>35</v>
      </c>
      <c r="CZ22">
        <f t="shared" si="4"/>
        <v>35</v>
      </c>
      <c r="DA22">
        <f t="shared" si="5"/>
        <v>1</v>
      </c>
      <c r="DB22">
        <v>0</v>
      </c>
    </row>
    <row r="23" spans="1:106" ht="12.75">
      <c r="A23">
        <f>ROW(Source!A26)</f>
        <v>26</v>
      </c>
      <c r="B23">
        <v>27243028</v>
      </c>
      <c r="C23">
        <v>27243152</v>
      </c>
      <c r="D23">
        <v>24316115</v>
      </c>
      <c r="E23">
        <v>1</v>
      </c>
      <c r="F23">
        <v>1</v>
      </c>
      <c r="G23">
        <v>1</v>
      </c>
      <c r="H23">
        <v>3</v>
      </c>
      <c r="I23" t="s">
        <v>316</v>
      </c>
      <c r="J23" t="s">
        <v>317</v>
      </c>
      <c r="K23" t="s">
        <v>318</v>
      </c>
      <c r="L23">
        <v>1348</v>
      </c>
      <c r="N23">
        <v>1009</v>
      </c>
      <c r="O23" t="s">
        <v>100</v>
      </c>
      <c r="P23" t="s">
        <v>100</v>
      </c>
      <c r="Q23">
        <v>1000</v>
      </c>
      <c r="W23">
        <v>0</v>
      </c>
      <c r="X23">
        <v>293395486</v>
      </c>
      <c r="Y23">
        <v>9E-05</v>
      </c>
      <c r="AA23">
        <v>132200</v>
      </c>
      <c r="AB23">
        <v>0</v>
      </c>
      <c r="AC23">
        <v>0</v>
      </c>
      <c r="AD23">
        <v>0</v>
      </c>
      <c r="AE23">
        <v>132200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1</v>
      </c>
      <c r="AR23">
        <v>0</v>
      </c>
      <c r="AT23">
        <v>9E-05</v>
      </c>
      <c r="AV23">
        <v>0</v>
      </c>
      <c r="AW23">
        <v>2</v>
      </c>
      <c r="AX23">
        <v>27243191</v>
      </c>
      <c r="AY23">
        <v>2</v>
      </c>
      <c r="AZ23">
        <v>16384</v>
      </c>
      <c r="BA23">
        <v>34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11.898000000000001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11.898000000000001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CX23">
        <f>Y23*Source!I26</f>
        <v>5.652E-05</v>
      </c>
      <c r="CY23">
        <f t="shared" si="3"/>
        <v>132200</v>
      </c>
      <c r="CZ23">
        <f t="shared" si="4"/>
        <v>132200</v>
      </c>
      <c r="DA23">
        <f t="shared" si="5"/>
        <v>1</v>
      </c>
      <c r="DB23">
        <v>0</v>
      </c>
    </row>
    <row r="24" spans="1:106" ht="12.75">
      <c r="A24">
        <f>ROW(Source!A26)</f>
        <v>26</v>
      </c>
      <c r="B24">
        <v>27243028</v>
      </c>
      <c r="C24">
        <v>27243152</v>
      </c>
      <c r="D24">
        <v>24321017</v>
      </c>
      <c r="E24">
        <v>1</v>
      </c>
      <c r="F24">
        <v>1</v>
      </c>
      <c r="G24">
        <v>1</v>
      </c>
      <c r="H24">
        <v>3</v>
      </c>
      <c r="I24" t="s">
        <v>319</v>
      </c>
      <c r="J24" t="s">
        <v>320</v>
      </c>
      <c r="K24" t="s">
        <v>321</v>
      </c>
      <c r="L24">
        <v>1327</v>
      </c>
      <c r="N24">
        <v>1005</v>
      </c>
      <c r="O24" t="s">
        <v>322</v>
      </c>
      <c r="P24" t="s">
        <v>322</v>
      </c>
      <c r="Q24">
        <v>1</v>
      </c>
      <c r="W24">
        <v>0</v>
      </c>
      <c r="X24">
        <v>-198988481</v>
      </c>
      <c r="Y24">
        <v>115</v>
      </c>
      <c r="AA24">
        <v>237.29</v>
      </c>
      <c r="AB24">
        <v>0</v>
      </c>
      <c r="AC24">
        <v>0</v>
      </c>
      <c r="AD24">
        <v>0</v>
      </c>
      <c r="AE24">
        <v>237.29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1</v>
      </c>
      <c r="AO24">
        <v>0</v>
      </c>
      <c r="AP24">
        <v>1</v>
      </c>
      <c r="AQ24">
        <v>1</v>
      </c>
      <c r="AR24">
        <v>0</v>
      </c>
      <c r="AT24">
        <v>115</v>
      </c>
      <c r="AV24">
        <v>0</v>
      </c>
      <c r="AW24">
        <v>2</v>
      </c>
      <c r="AX24">
        <v>27243192</v>
      </c>
      <c r="AY24">
        <v>2</v>
      </c>
      <c r="AZ24">
        <v>22528</v>
      </c>
      <c r="BA24">
        <v>35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27288.35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1</v>
      </c>
      <c r="BQ24">
        <v>27288.35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1</v>
      </c>
      <c r="CX24">
        <f>Y24*Source!I26</f>
        <v>72.22</v>
      </c>
      <c r="CY24">
        <f t="shared" si="3"/>
        <v>237.29</v>
      </c>
      <c r="CZ24">
        <f t="shared" si="4"/>
        <v>237.29</v>
      </c>
      <c r="DA24">
        <f t="shared" si="5"/>
        <v>1</v>
      </c>
      <c r="DB24">
        <v>0</v>
      </c>
    </row>
    <row r="25" spans="1:106" ht="12.75">
      <c r="A25">
        <f>ROW(Source!A26)</f>
        <v>26</v>
      </c>
      <c r="B25">
        <v>27243028</v>
      </c>
      <c r="C25">
        <v>27243152</v>
      </c>
      <c r="D25">
        <v>24297140</v>
      </c>
      <c r="E25">
        <v>1</v>
      </c>
      <c r="F25">
        <v>1</v>
      </c>
      <c r="G25">
        <v>1</v>
      </c>
      <c r="H25">
        <v>3</v>
      </c>
      <c r="I25" t="s">
        <v>323</v>
      </c>
      <c r="J25" t="s">
        <v>324</v>
      </c>
      <c r="K25" t="s">
        <v>325</v>
      </c>
      <c r="L25">
        <v>1339</v>
      </c>
      <c r="N25">
        <v>1007</v>
      </c>
      <c r="O25" t="s">
        <v>302</v>
      </c>
      <c r="P25" t="s">
        <v>302</v>
      </c>
      <c r="Q25">
        <v>1</v>
      </c>
      <c r="W25">
        <v>0</v>
      </c>
      <c r="X25">
        <v>-2017141488</v>
      </c>
      <c r="Y25">
        <v>0.0013</v>
      </c>
      <c r="AA25">
        <v>5762.71</v>
      </c>
      <c r="AB25">
        <v>0</v>
      </c>
      <c r="AC25">
        <v>0</v>
      </c>
      <c r="AD25">
        <v>0</v>
      </c>
      <c r="AE25">
        <v>5762.71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1</v>
      </c>
      <c r="AR25">
        <v>0</v>
      </c>
      <c r="AT25">
        <v>0.0013</v>
      </c>
      <c r="AV25">
        <v>0</v>
      </c>
      <c r="AW25">
        <v>2</v>
      </c>
      <c r="AX25">
        <v>27243194</v>
      </c>
      <c r="AY25">
        <v>2</v>
      </c>
      <c r="AZ25">
        <v>16384</v>
      </c>
      <c r="BA25">
        <v>37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7.491523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7.491523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CX25">
        <f>Y25*Source!I26</f>
        <v>0.0008164</v>
      </c>
      <c r="CY25">
        <f t="shared" si="3"/>
        <v>5762.71</v>
      </c>
      <c r="CZ25">
        <f t="shared" si="4"/>
        <v>5762.71</v>
      </c>
      <c r="DA25">
        <f t="shared" si="5"/>
        <v>1</v>
      </c>
      <c r="DB25">
        <v>0</v>
      </c>
    </row>
    <row r="26" spans="1:106" ht="12.75">
      <c r="A26">
        <f>ROW(Source!A26)</f>
        <v>26</v>
      </c>
      <c r="B26">
        <v>27243028</v>
      </c>
      <c r="C26">
        <v>27243152</v>
      </c>
      <c r="D26">
        <v>24315188</v>
      </c>
      <c r="E26">
        <v>1</v>
      </c>
      <c r="F26">
        <v>1</v>
      </c>
      <c r="G26">
        <v>1</v>
      </c>
      <c r="H26">
        <v>3</v>
      </c>
      <c r="I26" t="s">
        <v>326</v>
      </c>
      <c r="J26" t="s">
        <v>327</v>
      </c>
      <c r="K26" t="s">
        <v>328</v>
      </c>
      <c r="L26">
        <v>1348</v>
      </c>
      <c r="N26">
        <v>1009</v>
      </c>
      <c r="O26" t="s">
        <v>100</v>
      </c>
      <c r="P26" t="s">
        <v>100</v>
      </c>
      <c r="Q26">
        <v>1000</v>
      </c>
      <c r="W26">
        <v>0</v>
      </c>
      <c r="X26">
        <v>-1426249434</v>
      </c>
      <c r="Y26">
        <v>0.00047</v>
      </c>
      <c r="AA26">
        <v>67779.66</v>
      </c>
      <c r="AB26">
        <v>0</v>
      </c>
      <c r="AC26">
        <v>0</v>
      </c>
      <c r="AD26">
        <v>0</v>
      </c>
      <c r="AE26">
        <v>67779.66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1</v>
      </c>
      <c r="AR26">
        <v>0</v>
      </c>
      <c r="AT26">
        <v>0.00047</v>
      </c>
      <c r="AV26">
        <v>0</v>
      </c>
      <c r="AW26">
        <v>2</v>
      </c>
      <c r="AX26">
        <v>27243195</v>
      </c>
      <c r="AY26">
        <v>2</v>
      </c>
      <c r="AZ26">
        <v>16384</v>
      </c>
      <c r="BA26">
        <v>38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31.8564402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31.8564402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1</v>
      </c>
      <c r="CX26">
        <f>Y26*Source!I26</f>
        <v>0.00029516</v>
      </c>
      <c r="CY26">
        <f t="shared" si="3"/>
        <v>67779.66</v>
      </c>
      <c r="CZ26">
        <f t="shared" si="4"/>
        <v>67779.66</v>
      </c>
      <c r="DA26">
        <f t="shared" si="5"/>
        <v>1</v>
      </c>
      <c r="DB26">
        <v>0</v>
      </c>
    </row>
    <row r="27" spans="1:106" ht="12.75">
      <c r="A27">
        <f>ROW(Source!A27)</f>
        <v>27</v>
      </c>
      <c r="B27">
        <v>27243028</v>
      </c>
      <c r="C27">
        <v>27243198</v>
      </c>
      <c r="D27">
        <v>9416104</v>
      </c>
      <c r="E27">
        <v>1</v>
      </c>
      <c r="F27">
        <v>1</v>
      </c>
      <c r="G27">
        <v>1</v>
      </c>
      <c r="H27">
        <v>1</v>
      </c>
      <c r="I27" t="s">
        <v>329</v>
      </c>
      <c r="K27" t="s">
        <v>330</v>
      </c>
      <c r="L27">
        <v>1369</v>
      </c>
      <c r="N27">
        <v>1013</v>
      </c>
      <c r="O27" t="s">
        <v>258</v>
      </c>
      <c r="P27" t="s">
        <v>258</v>
      </c>
      <c r="Q27">
        <v>1</v>
      </c>
      <c r="W27">
        <v>0</v>
      </c>
      <c r="X27">
        <v>1343512101</v>
      </c>
      <c r="Y27">
        <v>0.391</v>
      </c>
      <c r="AA27">
        <v>0</v>
      </c>
      <c r="AB27">
        <v>0</v>
      </c>
      <c r="AC27">
        <v>0</v>
      </c>
      <c r="AD27">
        <v>132.29</v>
      </c>
      <c r="AE27">
        <v>0</v>
      </c>
      <c r="AF27">
        <v>0</v>
      </c>
      <c r="AG27">
        <v>0</v>
      </c>
      <c r="AH27">
        <v>132.29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1</v>
      </c>
      <c r="AQ27">
        <v>1</v>
      </c>
      <c r="AR27">
        <v>0</v>
      </c>
      <c r="AT27">
        <v>0.34</v>
      </c>
      <c r="AU27" t="s">
        <v>39</v>
      </c>
      <c r="AV27">
        <v>1</v>
      </c>
      <c r="AW27">
        <v>2</v>
      </c>
      <c r="AX27">
        <v>27243201</v>
      </c>
      <c r="AY27">
        <v>2</v>
      </c>
      <c r="AZ27">
        <v>131072</v>
      </c>
      <c r="BA27">
        <v>41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44.9786</v>
      </c>
      <c r="BN27">
        <v>0.34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51.72539</v>
      </c>
      <c r="BU27">
        <v>0.391</v>
      </c>
      <c r="BV27">
        <v>0</v>
      </c>
      <c r="BW27">
        <v>1</v>
      </c>
      <c r="CX27">
        <f>Y27*Source!I27</f>
        <v>4.692</v>
      </c>
      <c r="CY27">
        <f>AD27</f>
        <v>132.29</v>
      </c>
      <c r="CZ27">
        <f>AH27</f>
        <v>132.29</v>
      </c>
      <c r="DA27">
        <f>AL27</f>
        <v>1</v>
      </c>
      <c r="DB27">
        <v>0</v>
      </c>
    </row>
    <row r="28" spans="1:106" ht="12.75">
      <c r="A28">
        <f>ROW(Source!A27)</f>
        <v>27</v>
      </c>
      <c r="B28">
        <v>27243028</v>
      </c>
      <c r="C28">
        <v>27243198</v>
      </c>
      <c r="D28">
        <v>24269286</v>
      </c>
      <c r="E28">
        <v>1</v>
      </c>
      <c r="F28">
        <v>1</v>
      </c>
      <c r="G28">
        <v>1</v>
      </c>
      <c r="H28">
        <v>2</v>
      </c>
      <c r="I28" t="s">
        <v>331</v>
      </c>
      <c r="J28" t="s">
        <v>332</v>
      </c>
      <c r="K28" t="s">
        <v>333</v>
      </c>
      <c r="L28">
        <v>1368</v>
      </c>
      <c r="N28">
        <v>1011</v>
      </c>
      <c r="O28" t="s">
        <v>262</v>
      </c>
      <c r="P28" t="s">
        <v>262</v>
      </c>
      <c r="Q28">
        <v>1</v>
      </c>
      <c r="W28">
        <v>0</v>
      </c>
      <c r="X28">
        <v>2138605918</v>
      </c>
      <c r="Y28">
        <v>0.3875</v>
      </c>
      <c r="AA28">
        <v>0</v>
      </c>
      <c r="AB28">
        <v>9.98</v>
      </c>
      <c r="AC28">
        <v>0</v>
      </c>
      <c r="AD28">
        <v>0</v>
      </c>
      <c r="AE28">
        <v>0</v>
      </c>
      <c r="AF28">
        <v>9.98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1</v>
      </c>
      <c r="AQ28">
        <v>1</v>
      </c>
      <c r="AR28">
        <v>0</v>
      </c>
      <c r="AT28">
        <v>0.31</v>
      </c>
      <c r="AU28" t="s">
        <v>38</v>
      </c>
      <c r="AV28">
        <v>0</v>
      </c>
      <c r="AW28">
        <v>2</v>
      </c>
      <c r="AX28">
        <v>27243202</v>
      </c>
      <c r="AY28">
        <v>2</v>
      </c>
      <c r="AZ28">
        <v>32768</v>
      </c>
      <c r="BA28">
        <v>42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3.0938000000000003</v>
      </c>
      <c r="BL28">
        <v>0</v>
      </c>
      <c r="BM28">
        <v>0</v>
      </c>
      <c r="BN28">
        <v>0</v>
      </c>
      <c r="BO28">
        <v>0</v>
      </c>
      <c r="BP28">
        <v>1</v>
      </c>
      <c r="BQ28">
        <v>0</v>
      </c>
      <c r="BR28">
        <v>3.8672500000000003</v>
      </c>
      <c r="BS28">
        <v>0</v>
      </c>
      <c r="BT28">
        <v>0</v>
      </c>
      <c r="BU28">
        <v>0</v>
      </c>
      <c r="BV28">
        <v>0</v>
      </c>
      <c r="BW28">
        <v>1</v>
      </c>
      <c r="CX28">
        <f>Y28*Source!I27</f>
        <v>4.65</v>
      </c>
      <c r="CY28">
        <f>AB28</f>
        <v>9.98</v>
      </c>
      <c r="CZ28">
        <f>AF28</f>
        <v>9.98</v>
      </c>
      <c r="DA28">
        <f>AJ28</f>
        <v>1</v>
      </c>
      <c r="DB28">
        <v>0</v>
      </c>
    </row>
    <row r="29" spans="1:106" ht="12.75">
      <c r="A29">
        <f>ROW(Source!A28)</f>
        <v>28</v>
      </c>
      <c r="B29">
        <v>27243028</v>
      </c>
      <c r="C29">
        <v>27243203</v>
      </c>
      <c r="D29">
        <v>9415385</v>
      </c>
      <c r="E29">
        <v>1</v>
      </c>
      <c r="F29">
        <v>1</v>
      </c>
      <c r="G29">
        <v>1</v>
      </c>
      <c r="H29">
        <v>1</v>
      </c>
      <c r="I29" t="s">
        <v>334</v>
      </c>
      <c r="K29" t="s">
        <v>335</v>
      </c>
      <c r="L29">
        <v>1369</v>
      </c>
      <c r="N29">
        <v>1013</v>
      </c>
      <c r="O29" t="s">
        <v>258</v>
      </c>
      <c r="P29" t="s">
        <v>258</v>
      </c>
      <c r="Q29">
        <v>1</v>
      </c>
      <c r="W29">
        <v>0</v>
      </c>
      <c r="X29">
        <v>1951387513</v>
      </c>
      <c r="Y29">
        <v>20.1365</v>
      </c>
      <c r="AA29">
        <v>0</v>
      </c>
      <c r="AB29">
        <v>0</v>
      </c>
      <c r="AC29">
        <v>0</v>
      </c>
      <c r="AD29">
        <v>138.75</v>
      </c>
      <c r="AE29">
        <v>0</v>
      </c>
      <c r="AF29">
        <v>0</v>
      </c>
      <c r="AG29">
        <v>0</v>
      </c>
      <c r="AH29">
        <v>138.75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1</v>
      </c>
      <c r="AQ29">
        <v>1</v>
      </c>
      <c r="AR29">
        <v>0</v>
      </c>
      <c r="AT29">
        <v>17.51</v>
      </c>
      <c r="AU29" t="s">
        <v>39</v>
      </c>
      <c r="AV29">
        <v>1</v>
      </c>
      <c r="AW29">
        <v>2</v>
      </c>
      <c r="AX29">
        <v>27243212</v>
      </c>
      <c r="AY29">
        <v>2</v>
      </c>
      <c r="AZ29">
        <v>131072</v>
      </c>
      <c r="BA29">
        <v>43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2429.5125000000003</v>
      </c>
      <c r="BN29">
        <v>17.51</v>
      </c>
      <c r="BO29">
        <v>0</v>
      </c>
      <c r="BP29">
        <v>1</v>
      </c>
      <c r="BQ29">
        <v>0</v>
      </c>
      <c r="BR29">
        <v>0</v>
      </c>
      <c r="BS29">
        <v>0</v>
      </c>
      <c r="BT29">
        <v>2793.9393750000004</v>
      </c>
      <c r="BU29">
        <v>20.1365</v>
      </c>
      <c r="BV29">
        <v>0</v>
      </c>
      <c r="BW29">
        <v>1</v>
      </c>
      <c r="CX29">
        <f>Y29*Source!I28</f>
        <v>12.645722000000001</v>
      </c>
      <c r="CY29">
        <f>AD29</f>
        <v>138.75</v>
      </c>
      <c r="CZ29">
        <f>AH29</f>
        <v>138.75</v>
      </c>
      <c r="DA29">
        <f>AL29</f>
        <v>1</v>
      </c>
      <c r="DB29">
        <v>0</v>
      </c>
    </row>
    <row r="30" spans="1:106" ht="12.75">
      <c r="A30">
        <f>ROW(Source!A28)</f>
        <v>28</v>
      </c>
      <c r="B30">
        <v>27243028</v>
      </c>
      <c r="C30">
        <v>27243203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23</v>
      </c>
      <c r="K30" t="s">
        <v>276</v>
      </c>
      <c r="L30">
        <v>608254</v>
      </c>
      <c r="N30">
        <v>1013</v>
      </c>
      <c r="O30" t="s">
        <v>277</v>
      </c>
      <c r="P30" t="s">
        <v>277</v>
      </c>
      <c r="Q30">
        <v>1</v>
      </c>
      <c r="W30">
        <v>0</v>
      </c>
      <c r="X30">
        <v>-185737400</v>
      </c>
      <c r="Y30">
        <v>0.22499999999999998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1</v>
      </c>
      <c r="AQ30">
        <v>1</v>
      </c>
      <c r="AR30">
        <v>0</v>
      </c>
      <c r="AT30">
        <v>0.18</v>
      </c>
      <c r="AU30" t="s">
        <v>38</v>
      </c>
      <c r="AV30">
        <v>2</v>
      </c>
      <c r="AW30">
        <v>2</v>
      </c>
      <c r="AX30">
        <v>27243213</v>
      </c>
      <c r="AY30">
        <v>1</v>
      </c>
      <c r="AZ30">
        <v>0</v>
      </c>
      <c r="BA30">
        <v>44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0.18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0.22499999999999998</v>
      </c>
      <c r="BW30">
        <v>1</v>
      </c>
      <c r="CX30">
        <f>Y30*Source!I28</f>
        <v>0.14129999999999998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ht="12.75">
      <c r="A31">
        <f>ROW(Source!A28)</f>
        <v>28</v>
      </c>
      <c r="B31">
        <v>27243028</v>
      </c>
      <c r="C31">
        <v>27243203</v>
      </c>
      <c r="D31">
        <v>24297465</v>
      </c>
      <c r="E31">
        <v>1</v>
      </c>
      <c r="F31">
        <v>1</v>
      </c>
      <c r="G31">
        <v>1</v>
      </c>
      <c r="H31">
        <v>2</v>
      </c>
      <c r="I31" t="s">
        <v>336</v>
      </c>
      <c r="J31" t="s">
        <v>337</v>
      </c>
      <c r="K31" t="s">
        <v>338</v>
      </c>
      <c r="L31">
        <v>1368</v>
      </c>
      <c r="N31">
        <v>1011</v>
      </c>
      <c r="O31" t="s">
        <v>262</v>
      </c>
      <c r="P31" t="s">
        <v>262</v>
      </c>
      <c r="Q31">
        <v>1</v>
      </c>
      <c r="W31">
        <v>0</v>
      </c>
      <c r="X31">
        <v>-1632114712</v>
      </c>
      <c r="Y31">
        <v>0.1375</v>
      </c>
      <c r="AA31">
        <v>0</v>
      </c>
      <c r="AB31">
        <v>849.15</v>
      </c>
      <c r="AC31">
        <v>0</v>
      </c>
      <c r="AD31">
        <v>0</v>
      </c>
      <c r="AE31">
        <v>0</v>
      </c>
      <c r="AF31">
        <v>849.15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1</v>
      </c>
      <c r="AQ31">
        <v>1</v>
      </c>
      <c r="AR31">
        <v>0</v>
      </c>
      <c r="AT31">
        <v>0.11</v>
      </c>
      <c r="AU31" t="s">
        <v>38</v>
      </c>
      <c r="AV31">
        <v>0</v>
      </c>
      <c r="AW31">
        <v>2</v>
      </c>
      <c r="AX31">
        <v>27243214</v>
      </c>
      <c r="AY31">
        <v>2</v>
      </c>
      <c r="AZ31">
        <v>98304</v>
      </c>
      <c r="BA31">
        <v>45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93.4065</v>
      </c>
      <c r="BL31">
        <v>0</v>
      </c>
      <c r="BM31">
        <v>0</v>
      </c>
      <c r="BN31">
        <v>0</v>
      </c>
      <c r="BO31">
        <v>0</v>
      </c>
      <c r="BP31">
        <v>1</v>
      </c>
      <c r="BQ31">
        <v>0</v>
      </c>
      <c r="BR31">
        <v>116.758125</v>
      </c>
      <c r="BS31">
        <v>0</v>
      </c>
      <c r="BT31">
        <v>0</v>
      </c>
      <c r="BU31">
        <v>0</v>
      </c>
      <c r="BV31">
        <v>0</v>
      </c>
      <c r="BW31">
        <v>1</v>
      </c>
      <c r="CX31">
        <f>Y31*Source!I28</f>
        <v>0.08635000000000001</v>
      </c>
      <c r="CY31">
        <f>AB31</f>
        <v>849.15</v>
      </c>
      <c r="CZ31">
        <f>AF31</f>
        <v>849.15</v>
      </c>
      <c r="DA31">
        <f>AJ31</f>
        <v>1</v>
      </c>
      <c r="DB31">
        <v>0</v>
      </c>
    </row>
    <row r="32" spans="1:106" ht="12.75">
      <c r="A32">
        <f>ROW(Source!A28)</f>
        <v>28</v>
      </c>
      <c r="B32">
        <v>27243028</v>
      </c>
      <c r="C32">
        <v>27243203</v>
      </c>
      <c r="D32">
        <v>24262159</v>
      </c>
      <c r="E32">
        <v>1</v>
      </c>
      <c r="F32">
        <v>1</v>
      </c>
      <c r="G32">
        <v>1</v>
      </c>
      <c r="H32">
        <v>2</v>
      </c>
      <c r="I32" t="s">
        <v>281</v>
      </c>
      <c r="J32" t="s">
        <v>282</v>
      </c>
      <c r="K32" t="s">
        <v>283</v>
      </c>
      <c r="L32">
        <v>1368</v>
      </c>
      <c r="N32">
        <v>1011</v>
      </c>
      <c r="O32" t="s">
        <v>262</v>
      </c>
      <c r="P32" t="s">
        <v>262</v>
      </c>
      <c r="Q32">
        <v>1</v>
      </c>
      <c r="W32">
        <v>0</v>
      </c>
      <c r="X32">
        <v>-727480001</v>
      </c>
      <c r="Y32">
        <v>0.08750000000000001</v>
      </c>
      <c r="AA32">
        <v>0</v>
      </c>
      <c r="AB32">
        <v>636.03</v>
      </c>
      <c r="AC32">
        <v>0</v>
      </c>
      <c r="AD32">
        <v>0</v>
      </c>
      <c r="AE32">
        <v>0</v>
      </c>
      <c r="AF32">
        <v>636.03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1</v>
      </c>
      <c r="AQ32">
        <v>1</v>
      </c>
      <c r="AR32">
        <v>0</v>
      </c>
      <c r="AT32">
        <v>0.07</v>
      </c>
      <c r="AU32" t="s">
        <v>38</v>
      </c>
      <c r="AV32">
        <v>0</v>
      </c>
      <c r="AW32">
        <v>2</v>
      </c>
      <c r="AX32">
        <v>27243215</v>
      </c>
      <c r="AY32">
        <v>2</v>
      </c>
      <c r="AZ32">
        <v>98304</v>
      </c>
      <c r="BA32">
        <v>46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44.5221</v>
      </c>
      <c r="BL32">
        <v>0</v>
      </c>
      <c r="BM32">
        <v>0</v>
      </c>
      <c r="BN32">
        <v>0</v>
      </c>
      <c r="BO32">
        <v>0</v>
      </c>
      <c r="BP32">
        <v>1</v>
      </c>
      <c r="BQ32">
        <v>0</v>
      </c>
      <c r="BR32">
        <v>55.652625</v>
      </c>
      <c r="BS32">
        <v>0</v>
      </c>
      <c r="BT32">
        <v>0</v>
      </c>
      <c r="BU32">
        <v>0</v>
      </c>
      <c r="BV32">
        <v>0</v>
      </c>
      <c r="BW32">
        <v>1</v>
      </c>
      <c r="CX32">
        <f>Y32*Source!I28</f>
        <v>0.054950000000000006</v>
      </c>
      <c r="CY32">
        <f>AB32</f>
        <v>636.03</v>
      </c>
      <c r="CZ32">
        <f>AF32</f>
        <v>636.03</v>
      </c>
      <c r="DA32">
        <f>AJ32</f>
        <v>1</v>
      </c>
      <c r="DB32">
        <v>0</v>
      </c>
    </row>
    <row r="33" spans="1:106" ht="12.75">
      <c r="A33">
        <f>ROW(Source!A28)</f>
        <v>28</v>
      </c>
      <c r="B33">
        <v>27243028</v>
      </c>
      <c r="C33">
        <v>27243203</v>
      </c>
      <c r="D33">
        <v>24268654</v>
      </c>
      <c r="E33">
        <v>1</v>
      </c>
      <c r="F33">
        <v>1</v>
      </c>
      <c r="G33">
        <v>1</v>
      </c>
      <c r="H33">
        <v>2</v>
      </c>
      <c r="I33" t="s">
        <v>339</v>
      </c>
      <c r="J33" t="s">
        <v>340</v>
      </c>
      <c r="K33" t="s">
        <v>341</v>
      </c>
      <c r="L33">
        <v>1368</v>
      </c>
      <c r="N33">
        <v>1011</v>
      </c>
      <c r="O33" t="s">
        <v>262</v>
      </c>
      <c r="P33" t="s">
        <v>262</v>
      </c>
      <c r="Q33">
        <v>1</v>
      </c>
      <c r="W33">
        <v>0</v>
      </c>
      <c r="X33">
        <v>-1003319085</v>
      </c>
      <c r="Y33">
        <v>2.2625</v>
      </c>
      <c r="AA33">
        <v>0</v>
      </c>
      <c r="AB33">
        <v>150.67</v>
      </c>
      <c r="AC33">
        <v>0</v>
      </c>
      <c r="AD33">
        <v>0</v>
      </c>
      <c r="AE33">
        <v>0</v>
      </c>
      <c r="AF33">
        <v>150.67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1</v>
      </c>
      <c r="AQ33">
        <v>1</v>
      </c>
      <c r="AR33">
        <v>0</v>
      </c>
      <c r="AT33">
        <v>1.81</v>
      </c>
      <c r="AU33" t="s">
        <v>38</v>
      </c>
      <c r="AV33">
        <v>0</v>
      </c>
      <c r="AW33">
        <v>2</v>
      </c>
      <c r="AX33">
        <v>27243216</v>
      </c>
      <c r="AY33">
        <v>2</v>
      </c>
      <c r="AZ33">
        <v>32768</v>
      </c>
      <c r="BA33">
        <v>47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272.7127</v>
      </c>
      <c r="BL33">
        <v>0</v>
      </c>
      <c r="BM33">
        <v>0</v>
      </c>
      <c r="BN33">
        <v>0</v>
      </c>
      <c r="BO33">
        <v>0</v>
      </c>
      <c r="BP33">
        <v>1</v>
      </c>
      <c r="BQ33">
        <v>0</v>
      </c>
      <c r="BR33">
        <v>340.890875</v>
      </c>
      <c r="BS33">
        <v>0</v>
      </c>
      <c r="BT33">
        <v>0</v>
      </c>
      <c r="BU33">
        <v>0</v>
      </c>
      <c r="BV33">
        <v>0</v>
      </c>
      <c r="BW33">
        <v>1</v>
      </c>
      <c r="CX33">
        <f>Y33*Source!I28</f>
        <v>1.4208500000000002</v>
      </c>
      <c r="CY33">
        <f>AB33</f>
        <v>150.67</v>
      </c>
      <c r="CZ33">
        <f>AF33</f>
        <v>150.67</v>
      </c>
      <c r="DA33">
        <f>AJ33</f>
        <v>1</v>
      </c>
      <c r="DB33">
        <v>0</v>
      </c>
    </row>
    <row r="34" spans="1:106" ht="12.75">
      <c r="A34">
        <f>ROW(Source!A28)</f>
        <v>28</v>
      </c>
      <c r="B34">
        <v>27243028</v>
      </c>
      <c r="C34">
        <v>27243203</v>
      </c>
      <c r="D34">
        <v>24262102</v>
      </c>
      <c r="E34">
        <v>1</v>
      </c>
      <c r="F34">
        <v>1</v>
      </c>
      <c r="G34">
        <v>1</v>
      </c>
      <c r="H34">
        <v>2</v>
      </c>
      <c r="I34" t="s">
        <v>271</v>
      </c>
      <c r="J34" t="s">
        <v>272</v>
      </c>
      <c r="K34" t="s">
        <v>273</v>
      </c>
      <c r="L34">
        <v>1368</v>
      </c>
      <c r="N34">
        <v>1011</v>
      </c>
      <c r="O34" t="s">
        <v>262</v>
      </c>
      <c r="P34" t="s">
        <v>262</v>
      </c>
      <c r="Q34">
        <v>1</v>
      </c>
      <c r="W34">
        <v>0</v>
      </c>
      <c r="X34">
        <v>596191924</v>
      </c>
      <c r="Y34">
        <v>0.125</v>
      </c>
      <c r="AA34">
        <v>0</v>
      </c>
      <c r="AB34">
        <v>698.33</v>
      </c>
      <c r="AC34">
        <v>0</v>
      </c>
      <c r="AD34">
        <v>0</v>
      </c>
      <c r="AE34">
        <v>0</v>
      </c>
      <c r="AF34">
        <v>698.33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1</v>
      </c>
      <c r="AQ34">
        <v>1</v>
      </c>
      <c r="AR34">
        <v>0</v>
      </c>
      <c r="AT34">
        <v>0.1</v>
      </c>
      <c r="AU34" t="s">
        <v>38</v>
      </c>
      <c r="AV34">
        <v>0</v>
      </c>
      <c r="AW34">
        <v>2</v>
      </c>
      <c r="AX34">
        <v>27243217</v>
      </c>
      <c r="AY34">
        <v>2</v>
      </c>
      <c r="AZ34">
        <v>98304</v>
      </c>
      <c r="BA34">
        <v>48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69.83300000000001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0</v>
      </c>
      <c r="BR34">
        <v>87.29125</v>
      </c>
      <c r="BS34">
        <v>0</v>
      </c>
      <c r="BT34">
        <v>0</v>
      </c>
      <c r="BU34">
        <v>0</v>
      </c>
      <c r="BV34">
        <v>0</v>
      </c>
      <c r="BW34">
        <v>1</v>
      </c>
      <c r="CX34">
        <f>Y34*Source!I28</f>
        <v>0.0785</v>
      </c>
      <c r="CY34">
        <f>AB34</f>
        <v>698.33</v>
      </c>
      <c r="CZ34">
        <f>AF34</f>
        <v>698.33</v>
      </c>
      <c r="DA34">
        <f>AJ34</f>
        <v>1</v>
      </c>
      <c r="DB34">
        <v>0</v>
      </c>
    </row>
    <row r="35" spans="1:106" ht="12.75">
      <c r="A35">
        <f>ROW(Source!A28)</f>
        <v>28</v>
      </c>
      <c r="B35">
        <v>27243028</v>
      </c>
      <c r="C35">
        <v>27243203</v>
      </c>
      <c r="D35">
        <v>24313797</v>
      </c>
      <c r="E35">
        <v>1</v>
      </c>
      <c r="F35">
        <v>1</v>
      </c>
      <c r="G35">
        <v>1</v>
      </c>
      <c r="H35">
        <v>3</v>
      </c>
      <c r="I35" t="s">
        <v>342</v>
      </c>
      <c r="J35" t="s">
        <v>343</v>
      </c>
      <c r="K35" t="s">
        <v>344</v>
      </c>
      <c r="L35">
        <v>1348</v>
      </c>
      <c r="N35">
        <v>1009</v>
      </c>
      <c r="O35" t="s">
        <v>100</v>
      </c>
      <c r="P35" t="s">
        <v>100</v>
      </c>
      <c r="Q35">
        <v>1000</v>
      </c>
      <c r="W35">
        <v>0</v>
      </c>
      <c r="X35">
        <v>-292470504</v>
      </c>
      <c r="Y35">
        <v>0.196</v>
      </c>
      <c r="AA35">
        <v>88135.59</v>
      </c>
      <c r="AB35">
        <v>0</v>
      </c>
      <c r="AC35">
        <v>0</v>
      </c>
      <c r="AD35">
        <v>0</v>
      </c>
      <c r="AE35">
        <v>88135.59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1</v>
      </c>
      <c r="AR35">
        <v>0</v>
      </c>
      <c r="AT35">
        <v>0.196</v>
      </c>
      <c r="AV35">
        <v>0</v>
      </c>
      <c r="AW35">
        <v>2</v>
      </c>
      <c r="AX35">
        <v>27243220</v>
      </c>
      <c r="AY35">
        <v>2</v>
      </c>
      <c r="AZ35">
        <v>16384</v>
      </c>
      <c r="BA35">
        <v>51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17274.57564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17274.57564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1</v>
      </c>
      <c r="CX35">
        <f>Y35*Source!I28</f>
        <v>0.123088</v>
      </c>
      <c r="CY35">
        <f>AA35</f>
        <v>88135.59</v>
      </c>
      <c r="CZ35">
        <f>AE35</f>
        <v>88135.59</v>
      </c>
      <c r="DA35">
        <f>AI35</f>
        <v>1</v>
      </c>
      <c r="DB35">
        <v>0</v>
      </c>
    </row>
    <row r="36" spans="1:106" ht="12.75">
      <c r="A36">
        <f>ROW(Source!A28)</f>
        <v>28</v>
      </c>
      <c r="B36">
        <v>27243028</v>
      </c>
      <c r="C36">
        <v>27243203</v>
      </c>
      <c r="D36">
        <v>24331915</v>
      </c>
      <c r="E36">
        <v>1</v>
      </c>
      <c r="F36">
        <v>1</v>
      </c>
      <c r="G36">
        <v>1</v>
      </c>
      <c r="H36">
        <v>3</v>
      </c>
      <c r="I36" t="s">
        <v>345</v>
      </c>
      <c r="J36" t="s">
        <v>346</v>
      </c>
      <c r="K36" t="s">
        <v>347</v>
      </c>
      <c r="L36">
        <v>1327</v>
      </c>
      <c r="N36">
        <v>1005</v>
      </c>
      <c r="O36" t="s">
        <v>322</v>
      </c>
      <c r="P36" t="s">
        <v>322</v>
      </c>
      <c r="Q36">
        <v>1</v>
      </c>
      <c r="W36">
        <v>0</v>
      </c>
      <c r="X36">
        <v>1078476973</v>
      </c>
      <c r="Y36">
        <v>110</v>
      </c>
      <c r="AA36">
        <v>63.47</v>
      </c>
      <c r="AB36">
        <v>0</v>
      </c>
      <c r="AC36">
        <v>0</v>
      </c>
      <c r="AD36">
        <v>0</v>
      </c>
      <c r="AE36">
        <v>63.47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1</v>
      </c>
      <c r="AR36">
        <v>0</v>
      </c>
      <c r="AT36">
        <v>110</v>
      </c>
      <c r="AV36">
        <v>0</v>
      </c>
      <c r="AW36">
        <v>2</v>
      </c>
      <c r="AX36">
        <v>27243221</v>
      </c>
      <c r="AY36">
        <v>2</v>
      </c>
      <c r="AZ36">
        <v>16384</v>
      </c>
      <c r="BA36">
        <v>52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6981.7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1</v>
      </c>
      <c r="BQ36">
        <v>6981.7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CX36">
        <f>Y36*Source!I28</f>
        <v>69.08</v>
      </c>
      <c r="CY36">
        <f>AA36</f>
        <v>63.47</v>
      </c>
      <c r="CZ36">
        <f>AE36</f>
        <v>63.47</v>
      </c>
      <c r="DA36">
        <f>AI36</f>
        <v>1</v>
      </c>
      <c r="DB36">
        <v>0</v>
      </c>
    </row>
    <row r="37" spans="1:106" ht="12.75">
      <c r="A37">
        <f>ROW(Source!A29)</f>
        <v>29</v>
      </c>
      <c r="B37">
        <v>27243028</v>
      </c>
      <c r="C37">
        <v>27243222</v>
      </c>
      <c r="D37">
        <v>9416287</v>
      </c>
      <c r="E37">
        <v>1</v>
      </c>
      <c r="F37">
        <v>1</v>
      </c>
      <c r="G37">
        <v>1</v>
      </c>
      <c r="H37">
        <v>1</v>
      </c>
      <c r="I37" t="s">
        <v>348</v>
      </c>
      <c r="K37" t="s">
        <v>349</v>
      </c>
      <c r="L37">
        <v>1369</v>
      </c>
      <c r="N37">
        <v>1013</v>
      </c>
      <c r="O37" t="s">
        <v>258</v>
      </c>
      <c r="P37" t="s">
        <v>258</v>
      </c>
      <c r="Q37">
        <v>1</v>
      </c>
      <c r="W37">
        <v>0</v>
      </c>
      <c r="X37">
        <v>911555194</v>
      </c>
      <c r="Y37">
        <v>52.370999999999995</v>
      </c>
      <c r="AA37">
        <v>0</v>
      </c>
      <c r="AB37">
        <v>0</v>
      </c>
      <c r="AC37">
        <v>0</v>
      </c>
      <c r="AD37">
        <v>140.24</v>
      </c>
      <c r="AE37">
        <v>0</v>
      </c>
      <c r="AF37">
        <v>0</v>
      </c>
      <c r="AG37">
        <v>0</v>
      </c>
      <c r="AH37">
        <v>140.24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1</v>
      </c>
      <c r="AQ37">
        <v>1</v>
      </c>
      <c r="AR37">
        <v>0</v>
      </c>
      <c r="AT37">
        <v>45.54</v>
      </c>
      <c r="AU37" t="s">
        <v>39</v>
      </c>
      <c r="AV37">
        <v>1</v>
      </c>
      <c r="AW37">
        <v>2</v>
      </c>
      <c r="AX37">
        <v>27243232</v>
      </c>
      <c r="AY37">
        <v>2</v>
      </c>
      <c r="AZ37">
        <v>131072</v>
      </c>
      <c r="BA37">
        <v>53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6386.5296</v>
      </c>
      <c r="BN37">
        <v>45.54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7344.50904</v>
      </c>
      <c r="BU37">
        <v>52.370999999999995</v>
      </c>
      <c r="BV37">
        <v>0</v>
      </c>
      <c r="BW37">
        <v>1</v>
      </c>
      <c r="CX37">
        <f>Y37*Source!I29</f>
        <v>85.88843999999999</v>
      </c>
      <c r="CY37">
        <f>AD37</f>
        <v>140.24</v>
      </c>
      <c r="CZ37">
        <f>AH37</f>
        <v>140.24</v>
      </c>
      <c r="DA37">
        <f>AL37</f>
        <v>1</v>
      </c>
      <c r="DB37">
        <v>0</v>
      </c>
    </row>
    <row r="38" spans="1:106" ht="12.75">
      <c r="A38">
        <f>ROW(Source!A29)</f>
        <v>29</v>
      </c>
      <c r="B38">
        <v>27243028</v>
      </c>
      <c r="C38">
        <v>27243222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23</v>
      </c>
      <c r="K38" t="s">
        <v>276</v>
      </c>
      <c r="L38">
        <v>608254</v>
      </c>
      <c r="N38">
        <v>1013</v>
      </c>
      <c r="O38" t="s">
        <v>277</v>
      </c>
      <c r="P38" t="s">
        <v>277</v>
      </c>
      <c r="Q38">
        <v>1</v>
      </c>
      <c r="W38">
        <v>0</v>
      </c>
      <c r="X38">
        <v>-185737400</v>
      </c>
      <c r="Y38">
        <v>0.6875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1</v>
      </c>
      <c r="AQ38">
        <v>1</v>
      </c>
      <c r="AR38">
        <v>0</v>
      </c>
      <c r="AT38">
        <v>0.55</v>
      </c>
      <c r="AU38" t="s">
        <v>38</v>
      </c>
      <c r="AV38">
        <v>2</v>
      </c>
      <c r="AW38">
        <v>2</v>
      </c>
      <c r="AX38">
        <v>27243233</v>
      </c>
      <c r="AY38">
        <v>1</v>
      </c>
      <c r="AZ38">
        <v>0</v>
      </c>
      <c r="BA38">
        <v>54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0.55</v>
      </c>
      <c r="BP38">
        <v>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0.6875</v>
      </c>
      <c r="BW38">
        <v>1</v>
      </c>
      <c r="CX38">
        <f>Y38*Source!I29</f>
        <v>1.1275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ht="12.75">
      <c r="A39">
        <f>ROW(Source!A29)</f>
        <v>29</v>
      </c>
      <c r="B39">
        <v>27243028</v>
      </c>
      <c r="C39">
        <v>27243222</v>
      </c>
      <c r="D39">
        <v>24297465</v>
      </c>
      <c r="E39">
        <v>1</v>
      </c>
      <c r="F39">
        <v>1</v>
      </c>
      <c r="G39">
        <v>1</v>
      </c>
      <c r="H39">
        <v>2</v>
      </c>
      <c r="I39" t="s">
        <v>336</v>
      </c>
      <c r="J39" t="s">
        <v>337</v>
      </c>
      <c r="K39" t="s">
        <v>338</v>
      </c>
      <c r="L39">
        <v>1368</v>
      </c>
      <c r="N39">
        <v>1011</v>
      </c>
      <c r="O39" t="s">
        <v>262</v>
      </c>
      <c r="P39" t="s">
        <v>262</v>
      </c>
      <c r="Q39">
        <v>1</v>
      </c>
      <c r="W39">
        <v>0</v>
      </c>
      <c r="X39">
        <v>-1632114712</v>
      </c>
      <c r="Y39">
        <v>0.4375</v>
      </c>
      <c r="AA39">
        <v>0</v>
      </c>
      <c r="AB39">
        <v>849.15</v>
      </c>
      <c r="AC39">
        <v>0</v>
      </c>
      <c r="AD39">
        <v>0</v>
      </c>
      <c r="AE39">
        <v>0</v>
      </c>
      <c r="AF39">
        <v>849.15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1</v>
      </c>
      <c r="AQ39">
        <v>1</v>
      </c>
      <c r="AR39">
        <v>0</v>
      </c>
      <c r="AT39">
        <v>0.35</v>
      </c>
      <c r="AU39" t="s">
        <v>38</v>
      </c>
      <c r="AV39">
        <v>0</v>
      </c>
      <c r="AW39">
        <v>2</v>
      </c>
      <c r="AX39">
        <v>27243234</v>
      </c>
      <c r="AY39">
        <v>2</v>
      </c>
      <c r="AZ39">
        <v>98304</v>
      </c>
      <c r="BA39">
        <v>55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297.2025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0</v>
      </c>
      <c r="BR39">
        <v>371.503125</v>
      </c>
      <c r="BS39">
        <v>0</v>
      </c>
      <c r="BT39">
        <v>0</v>
      </c>
      <c r="BU39">
        <v>0</v>
      </c>
      <c r="BV39">
        <v>0</v>
      </c>
      <c r="BW39">
        <v>1</v>
      </c>
      <c r="CX39">
        <f>Y39*Source!I29</f>
        <v>0.7174999999999999</v>
      </c>
      <c r="CY39">
        <f>AB39</f>
        <v>849.15</v>
      </c>
      <c r="CZ39">
        <f>AF39</f>
        <v>849.15</v>
      </c>
      <c r="DA39">
        <f>AJ39</f>
        <v>1</v>
      </c>
      <c r="DB39">
        <v>0</v>
      </c>
    </row>
    <row r="40" spans="1:106" ht="12.75">
      <c r="A40">
        <f>ROW(Source!A29)</f>
        <v>29</v>
      </c>
      <c r="B40">
        <v>27243028</v>
      </c>
      <c r="C40">
        <v>27243222</v>
      </c>
      <c r="D40">
        <v>24262159</v>
      </c>
      <c r="E40">
        <v>1</v>
      </c>
      <c r="F40">
        <v>1</v>
      </c>
      <c r="G40">
        <v>1</v>
      </c>
      <c r="H40">
        <v>2</v>
      </c>
      <c r="I40" t="s">
        <v>281</v>
      </c>
      <c r="J40" t="s">
        <v>282</v>
      </c>
      <c r="K40" t="s">
        <v>283</v>
      </c>
      <c r="L40">
        <v>1368</v>
      </c>
      <c r="N40">
        <v>1011</v>
      </c>
      <c r="O40" t="s">
        <v>262</v>
      </c>
      <c r="P40" t="s">
        <v>262</v>
      </c>
      <c r="Q40">
        <v>1</v>
      </c>
      <c r="W40">
        <v>0</v>
      </c>
      <c r="X40">
        <v>-727480001</v>
      </c>
      <c r="Y40">
        <v>0.25</v>
      </c>
      <c r="AA40">
        <v>0</v>
      </c>
      <c r="AB40">
        <v>636.03</v>
      </c>
      <c r="AC40">
        <v>0</v>
      </c>
      <c r="AD40">
        <v>0</v>
      </c>
      <c r="AE40">
        <v>0</v>
      </c>
      <c r="AF40">
        <v>636.03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1</v>
      </c>
      <c r="AQ40">
        <v>1</v>
      </c>
      <c r="AR40">
        <v>0</v>
      </c>
      <c r="AT40">
        <v>0.2</v>
      </c>
      <c r="AU40" t="s">
        <v>38</v>
      </c>
      <c r="AV40">
        <v>0</v>
      </c>
      <c r="AW40">
        <v>2</v>
      </c>
      <c r="AX40">
        <v>27243235</v>
      </c>
      <c r="AY40">
        <v>2</v>
      </c>
      <c r="AZ40">
        <v>98304</v>
      </c>
      <c r="BA40">
        <v>56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127.206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0</v>
      </c>
      <c r="BR40">
        <v>159.0075</v>
      </c>
      <c r="BS40">
        <v>0</v>
      </c>
      <c r="BT40">
        <v>0</v>
      </c>
      <c r="BU40">
        <v>0</v>
      </c>
      <c r="BV40">
        <v>0</v>
      </c>
      <c r="BW40">
        <v>1</v>
      </c>
      <c r="CX40">
        <f>Y40*Source!I29</f>
        <v>0.41</v>
      </c>
      <c r="CY40">
        <f>AB40</f>
        <v>636.03</v>
      </c>
      <c r="CZ40">
        <f>AF40</f>
        <v>636.03</v>
      </c>
      <c r="DA40">
        <f>AJ40</f>
        <v>1</v>
      </c>
      <c r="DB40">
        <v>0</v>
      </c>
    </row>
    <row r="41" spans="1:106" ht="12.75">
      <c r="A41">
        <f>ROW(Source!A29)</f>
        <v>29</v>
      </c>
      <c r="B41">
        <v>27243028</v>
      </c>
      <c r="C41">
        <v>27243222</v>
      </c>
      <c r="D41">
        <v>24262102</v>
      </c>
      <c r="E41">
        <v>1</v>
      </c>
      <c r="F41">
        <v>1</v>
      </c>
      <c r="G41">
        <v>1</v>
      </c>
      <c r="H41">
        <v>2</v>
      </c>
      <c r="I41" t="s">
        <v>271</v>
      </c>
      <c r="J41" t="s">
        <v>272</v>
      </c>
      <c r="K41" t="s">
        <v>273</v>
      </c>
      <c r="L41">
        <v>1368</v>
      </c>
      <c r="N41">
        <v>1011</v>
      </c>
      <c r="O41" t="s">
        <v>262</v>
      </c>
      <c r="P41" t="s">
        <v>262</v>
      </c>
      <c r="Q41">
        <v>1</v>
      </c>
      <c r="W41">
        <v>0</v>
      </c>
      <c r="X41">
        <v>596191924</v>
      </c>
      <c r="Y41">
        <v>0.35000000000000003</v>
      </c>
      <c r="AA41">
        <v>0</v>
      </c>
      <c r="AB41">
        <v>698.33</v>
      </c>
      <c r="AC41">
        <v>0</v>
      </c>
      <c r="AD41">
        <v>0</v>
      </c>
      <c r="AE41">
        <v>0</v>
      </c>
      <c r="AF41">
        <v>698.33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1</v>
      </c>
      <c r="AQ41">
        <v>1</v>
      </c>
      <c r="AR41">
        <v>0</v>
      </c>
      <c r="AT41">
        <v>0.28</v>
      </c>
      <c r="AU41" t="s">
        <v>38</v>
      </c>
      <c r="AV41">
        <v>0</v>
      </c>
      <c r="AW41">
        <v>2</v>
      </c>
      <c r="AX41">
        <v>27243237</v>
      </c>
      <c r="AY41">
        <v>2</v>
      </c>
      <c r="AZ41">
        <v>98304</v>
      </c>
      <c r="BA41">
        <v>58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195.53240000000002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0</v>
      </c>
      <c r="BR41">
        <v>244.41550000000004</v>
      </c>
      <c r="BS41">
        <v>0</v>
      </c>
      <c r="BT41">
        <v>0</v>
      </c>
      <c r="BU41">
        <v>0</v>
      </c>
      <c r="BV41">
        <v>0</v>
      </c>
      <c r="BW41">
        <v>1</v>
      </c>
      <c r="CX41">
        <f>Y41*Source!I29</f>
        <v>0.5740000000000001</v>
      </c>
      <c r="CY41">
        <f>AB41</f>
        <v>698.33</v>
      </c>
      <c r="CZ41">
        <f>AF41</f>
        <v>698.33</v>
      </c>
      <c r="DA41">
        <f>AJ41</f>
        <v>1</v>
      </c>
      <c r="DB41">
        <v>0</v>
      </c>
    </row>
    <row r="42" spans="1:106" ht="12.75">
      <c r="A42">
        <f>ROW(Source!A29)</f>
        <v>29</v>
      </c>
      <c r="B42">
        <v>27243028</v>
      </c>
      <c r="C42">
        <v>27243222</v>
      </c>
      <c r="D42">
        <v>0</v>
      </c>
      <c r="E42">
        <v>0</v>
      </c>
      <c r="F42">
        <v>1</v>
      </c>
      <c r="G42">
        <v>1</v>
      </c>
      <c r="H42">
        <v>3</v>
      </c>
      <c r="K42" t="s">
        <v>350</v>
      </c>
      <c r="L42">
        <v>1371</v>
      </c>
      <c r="N42">
        <v>1013</v>
      </c>
      <c r="O42" t="s">
        <v>351</v>
      </c>
      <c r="P42" t="s">
        <v>351</v>
      </c>
      <c r="Q42">
        <v>1</v>
      </c>
      <c r="W42">
        <v>0</v>
      </c>
      <c r="X42">
        <v>1082805108</v>
      </c>
      <c r="Y42">
        <v>250</v>
      </c>
      <c r="AA42">
        <v>4.75</v>
      </c>
      <c r="AB42">
        <v>0</v>
      </c>
      <c r="AC42">
        <v>0</v>
      </c>
      <c r="AD42">
        <v>0</v>
      </c>
      <c r="AE42">
        <v>4.75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2</v>
      </c>
      <c r="AQ42">
        <v>1</v>
      </c>
      <c r="AR42">
        <v>0</v>
      </c>
      <c r="AT42">
        <v>250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1187.5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1187.5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CX42">
        <f>Y42*Source!I29</f>
        <v>410</v>
      </c>
      <c r="CY42">
        <f>AA42</f>
        <v>4.75</v>
      </c>
      <c r="CZ42">
        <f>AE42</f>
        <v>4.75</v>
      </c>
      <c r="DA42">
        <f>AI42</f>
        <v>1</v>
      </c>
      <c r="DB42">
        <v>0</v>
      </c>
    </row>
    <row r="43" spans="1:106" ht="12.75">
      <c r="A43">
        <f>ROW(Source!A29)</f>
        <v>29</v>
      </c>
      <c r="B43">
        <v>27243028</v>
      </c>
      <c r="C43">
        <v>27243222</v>
      </c>
      <c r="D43">
        <v>0</v>
      </c>
      <c r="E43">
        <v>0</v>
      </c>
      <c r="F43">
        <v>1</v>
      </c>
      <c r="G43">
        <v>1</v>
      </c>
      <c r="H43">
        <v>3</v>
      </c>
      <c r="K43" t="s">
        <v>352</v>
      </c>
      <c r="L43">
        <v>1371</v>
      </c>
      <c r="N43">
        <v>1013</v>
      </c>
      <c r="O43" t="s">
        <v>351</v>
      </c>
      <c r="P43" t="s">
        <v>351</v>
      </c>
      <c r="Q43">
        <v>1</v>
      </c>
      <c r="W43">
        <v>0</v>
      </c>
      <c r="X43">
        <v>991109161</v>
      </c>
      <c r="Y43">
        <v>250</v>
      </c>
      <c r="AA43">
        <v>0.69</v>
      </c>
      <c r="AB43">
        <v>0</v>
      </c>
      <c r="AC43">
        <v>0</v>
      </c>
      <c r="AD43">
        <v>0</v>
      </c>
      <c r="AE43">
        <v>0.69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2</v>
      </c>
      <c r="AQ43">
        <v>1</v>
      </c>
      <c r="AR43">
        <v>0</v>
      </c>
      <c r="AT43">
        <v>250</v>
      </c>
      <c r="AV43">
        <v>0</v>
      </c>
      <c r="AW43">
        <v>1</v>
      </c>
      <c r="AX43">
        <v>-1</v>
      </c>
      <c r="AY43">
        <v>0</v>
      </c>
      <c r="AZ43">
        <v>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172.5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172.5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CX43">
        <f>Y43*Source!I29</f>
        <v>410</v>
      </c>
      <c r="CY43">
        <f>AA43</f>
        <v>0.69</v>
      </c>
      <c r="CZ43">
        <f>AE43</f>
        <v>0.69</v>
      </c>
      <c r="DA43">
        <f>AI43</f>
        <v>1</v>
      </c>
      <c r="DB43">
        <v>0</v>
      </c>
    </row>
    <row r="44" spans="1:106" ht="12.75">
      <c r="A44">
        <f>ROW(Source!A29)</f>
        <v>29</v>
      </c>
      <c r="B44">
        <v>27243028</v>
      </c>
      <c r="C44">
        <v>27243222</v>
      </c>
      <c r="D44">
        <v>0</v>
      </c>
      <c r="E44">
        <v>0</v>
      </c>
      <c r="F44">
        <v>1</v>
      </c>
      <c r="G44">
        <v>1</v>
      </c>
      <c r="H44">
        <v>3</v>
      </c>
      <c r="K44" t="s">
        <v>353</v>
      </c>
      <c r="L44">
        <v>1371</v>
      </c>
      <c r="N44">
        <v>1013</v>
      </c>
      <c r="O44" t="s">
        <v>351</v>
      </c>
      <c r="P44" t="s">
        <v>351</v>
      </c>
      <c r="Q44">
        <v>1</v>
      </c>
      <c r="W44">
        <v>0</v>
      </c>
      <c r="X44">
        <v>-498933305</v>
      </c>
      <c r="Y44">
        <v>250</v>
      </c>
      <c r="AA44">
        <v>1.56</v>
      </c>
      <c r="AB44">
        <v>0</v>
      </c>
      <c r="AC44">
        <v>0</v>
      </c>
      <c r="AD44">
        <v>0</v>
      </c>
      <c r="AE44">
        <v>1.56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2</v>
      </c>
      <c r="AQ44">
        <v>1</v>
      </c>
      <c r="AR44">
        <v>0</v>
      </c>
      <c r="AT44">
        <v>250</v>
      </c>
      <c r="AV44">
        <v>0</v>
      </c>
      <c r="AW44">
        <v>1</v>
      </c>
      <c r="AX44">
        <v>-1</v>
      </c>
      <c r="AY44">
        <v>0</v>
      </c>
      <c r="AZ44">
        <v>0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390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390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1</v>
      </c>
      <c r="CX44">
        <f>Y44*Source!I29</f>
        <v>410</v>
      </c>
      <c r="CY44">
        <f>AA44</f>
        <v>1.56</v>
      </c>
      <c r="CZ44">
        <f>AE44</f>
        <v>1.56</v>
      </c>
      <c r="DA44">
        <f>AI44</f>
        <v>1</v>
      </c>
      <c r="DB44">
        <v>0</v>
      </c>
    </row>
    <row r="45" spans="1:106" ht="12.75">
      <c r="A45">
        <f>ROW(Source!A29)</f>
        <v>29</v>
      </c>
      <c r="B45">
        <v>27243028</v>
      </c>
      <c r="C45">
        <v>27243222</v>
      </c>
      <c r="D45">
        <v>24313278</v>
      </c>
      <c r="E45">
        <v>1</v>
      </c>
      <c r="F45">
        <v>1</v>
      </c>
      <c r="G45">
        <v>1</v>
      </c>
      <c r="H45">
        <v>3</v>
      </c>
      <c r="I45" t="s">
        <v>354</v>
      </c>
      <c r="J45" t="s">
        <v>355</v>
      </c>
      <c r="K45" t="s">
        <v>356</v>
      </c>
      <c r="L45">
        <v>1339</v>
      </c>
      <c r="N45">
        <v>1007</v>
      </c>
      <c r="O45" t="s">
        <v>302</v>
      </c>
      <c r="P45" t="s">
        <v>302</v>
      </c>
      <c r="Q45">
        <v>1</v>
      </c>
      <c r="W45">
        <v>0</v>
      </c>
      <c r="X45">
        <v>-1428075102</v>
      </c>
      <c r="Y45">
        <v>6.18</v>
      </c>
      <c r="AA45">
        <v>3946.75</v>
      </c>
      <c r="AB45">
        <v>0</v>
      </c>
      <c r="AC45">
        <v>0</v>
      </c>
      <c r="AD45">
        <v>0</v>
      </c>
      <c r="AE45">
        <v>3946.75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1</v>
      </c>
      <c r="AQ45">
        <v>1</v>
      </c>
      <c r="AR45">
        <v>0</v>
      </c>
      <c r="AT45">
        <v>6.18</v>
      </c>
      <c r="AV45">
        <v>0</v>
      </c>
      <c r="AW45">
        <v>2</v>
      </c>
      <c r="AX45">
        <v>27243241</v>
      </c>
      <c r="AY45">
        <v>2</v>
      </c>
      <c r="AZ45">
        <v>16384</v>
      </c>
      <c r="BA45">
        <v>62</v>
      </c>
      <c r="BB45">
        <v>1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24390.914999999997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24390.914999999997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CX45">
        <f>Y45*Source!I29</f>
        <v>10.1352</v>
      </c>
      <c r="CY45">
        <f>AA45</f>
        <v>3946.75</v>
      </c>
      <c r="CZ45">
        <f>AE45</f>
        <v>3946.75</v>
      </c>
      <c r="DA45">
        <f>AI45</f>
        <v>1</v>
      </c>
      <c r="DB45">
        <v>0</v>
      </c>
    </row>
    <row r="46" spans="1:106" ht="12.75">
      <c r="A46">
        <f>ROW(Source!A30)</f>
        <v>30</v>
      </c>
      <c r="B46">
        <v>27243028</v>
      </c>
      <c r="C46">
        <v>27243242</v>
      </c>
      <c r="D46">
        <v>9416287</v>
      </c>
      <c r="E46">
        <v>1</v>
      </c>
      <c r="F46">
        <v>1</v>
      </c>
      <c r="G46">
        <v>1</v>
      </c>
      <c r="H46">
        <v>1</v>
      </c>
      <c r="I46" t="s">
        <v>348</v>
      </c>
      <c r="K46" t="s">
        <v>349</v>
      </c>
      <c r="L46">
        <v>1369</v>
      </c>
      <c r="N46">
        <v>1013</v>
      </c>
      <c r="O46" t="s">
        <v>258</v>
      </c>
      <c r="P46" t="s">
        <v>258</v>
      </c>
      <c r="Q46">
        <v>1</v>
      </c>
      <c r="W46">
        <v>0</v>
      </c>
      <c r="X46">
        <v>911555194</v>
      </c>
      <c r="Y46">
        <v>81.09799999999998</v>
      </c>
      <c r="AA46">
        <v>0</v>
      </c>
      <c r="AB46">
        <v>0</v>
      </c>
      <c r="AC46">
        <v>0</v>
      </c>
      <c r="AD46">
        <v>140.24</v>
      </c>
      <c r="AE46">
        <v>0</v>
      </c>
      <c r="AF46">
        <v>0</v>
      </c>
      <c r="AG46">
        <v>0</v>
      </c>
      <c r="AH46">
        <v>140.24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1</v>
      </c>
      <c r="AQ46">
        <v>1</v>
      </c>
      <c r="AR46">
        <v>0</v>
      </c>
      <c r="AT46">
        <v>35.26</v>
      </c>
      <c r="AU46" t="s">
        <v>69</v>
      </c>
      <c r="AV46">
        <v>1</v>
      </c>
      <c r="AW46">
        <v>2</v>
      </c>
      <c r="AX46">
        <v>27243252</v>
      </c>
      <c r="AY46">
        <v>2</v>
      </c>
      <c r="AZ46">
        <v>131072</v>
      </c>
      <c r="BA46">
        <v>63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4944.8624</v>
      </c>
      <c r="BN46">
        <v>35.26</v>
      </c>
      <c r="BO46">
        <v>0</v>
      </c>
      <c r="BP46">
        <v>1</v>
      </c>
      <c r="BQ46">
        <v>0</v>
      </c>
      <c r="BR46">
        <v>0</v>
      </c>
      <c r="BS46">
        <v>0</v>
      </c>
      <c r="BT46">
        <v>11373.183519999999</v>
      </c>
      <c r="BU46">
        <v>81.09799999999998</v>
      </c>
      <c r="BV46">
        <v>0</v>
      </c>
      <c r="BW46">
        <v>1</v>
      </c>
      <c r="CX46">
        <f>Y46*Source!I30</f>
        <v>133.00071999999997</v>
      </c>
      <c r="CY46">
        <f>AD46</f>
        <v>140.24</v>
      </c>
      <c r="CZ46">
        <f>AH46</f>
        <v>140.24</v>
      </c>
      <c r="DA46">
        <f>AL46</f>
        <v>1</v>
      </c>
      <c r="DB46">
        <v>0</v>
      </c>
    </row>
    <row r="47" spans="1:106" ht="12.75">
      <c r="A47">
        <f>ROW(Source!A30)</f>
        <v>30</v>
      </c>
      <c r="B47">
        <v>27243028</v>
      </c>
      <c r="C47">
        <v>27243242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23</v>
      </c>
      <c r="K47" t="s">
        <v>276</v>
      </c>
      <c r="L47">
        <v>608254</v>
      </c>
      <c r="N47">
        <v>1013</v>
      </c>
      <c r="O47" t="s">
        <v>277</v>
      </c>
      <c r="P47" t="s">
        <v>277</v>
      </c>
      <c r="Q47">
        <v>1</v>
      </c>
      <c r="W47">
        <v>0</v>
      </c>
      <c r="X47">
        <v>-185737400</v>
      </c>
      <c r="Y47">
        <v>1.375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1</v>
      </c>
      <c r="AQ47">
        <v>1</v>
      </c>
      <c r="AR47">
        <v>0</v>
      </c>
      <c r="AT47">
        <v>0.55</v>
      </c>
      <c r="AU47" t="s">
        <v>68</v>
      </c>
      <c r="AV47">
        <v>2</v>
      </c>
      <c r="AW47">
        <v>2</v>
      </c>
      <c r="AX47">
        <v>27243253</v>
      </c>
      <c r="AY47">
        <v>1</v>
      </c>
      <c r="AZ47">
        <v>0</v>
      </c>
      <c r="BA47">
        <v>64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0.55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1.375</v>
      </c>
      <c r="BW47">
        <v>1</v>
      </c>
      <c r="CX47">
        <f>Y47*Source!I30</f>
        <v>2.255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ht="12.75">
      <c r="A48">
        <f>ROW(Source!A30)</f>
        <v>30</v>
      </c>
      <c r="B48">
        <v>27243028</v>
      </c>
      <c r="C48">
        <v>27243242</v>
      </c>
      <c r="D48">
        <v>24297465</v>
      </c>
      <c r="E48">
        <v>1</v>
      </c>
      <c r="F48">
        <v>1</v>
      </c>
      <c r="G48">
        <v>1</v>
      </c>
      <c r="H48">
        <v>2</v>
      </c>
      <c r="I48" t="s">
        <v>336</v>
      </c>
      <c r="J48" t="s">
        <v>337</v>
      </c>
      <c r="K48" t="s">
        <v>338</v>
      </c>
      <c r="L48">
        <v>1368</v>
      </c>
      <c r="N48">
        <v>1011</v>
      </c>
      <c r="O48" t="s">
        <v>262</v>
      </c>
      <c r="P48" t="s">
        <v>262</v>
      </c>
      <c r="Q48">
        <v>1</v>
      </c>
      <c r="W48">
        <v>0</v>
      </c>
      <c r="X48">
        <v>-1632114712</v>
      </c>
      <c r="Y48">
        <v>0.875</v>
      </c>
      <c r="AA48">
        <v>0</v>
      </c>
      <c r="AB48">
        <v>849.15</v>
      </c>
      <c r="AC48">
        <v>0</v>
      </c>
      <c r="AD48">
        <v>0</v>
      </c>
      <c r="AE48">
        <v>0</v>
      </c>
      <c r="AF48">
        <v>849.15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1</v>
      </c>
      <c r="AQ48">
        <v>1</v>
      </c>
      <c r="AR48">
        <v>0</v>
      </c>
      <c r="AT48">
        <v>0.35</v>
      </c>
      <c r="AU48" t="s">
        <v>68</v>
      </c>
      <c r="AV48">
        <v>0</v>
      </c>
      <c r="AW48">
        <v>2</v>
      </c>
      <c r="AX48">
        <v>27243254</v>
      </c>
      <c r="AY48">
        <v>2</v>
      </c>
      <c r="AZ48">
        <v>98304</v>
      </c>
      <c r="BA48">
        <v>65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297.2025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743.00625</v>
      </c>
      <c r="BS48">
        <v>0</v>
      </c>
      <c r="BT48">
        <v>0</v>
      </c>
      <c r="BU48">
        <v>0</v>
      </c>
      <c r="BV48">
        <v>0</v>
      </c>
      <c r="BW48">
        <v>1</v>
      </c>
      <c r="CX48">
        <f>Y48*Source!I30</f>
        <v>1.4349999999999998</v>
      </c>
      <c r="CY48">
        <f>AB48</f>
        <v>849.15</v>
      </c>
      <c r="CZ48">
        <f>AF48</f>
        <v>849.15</v>
      </c>
      <c r="DA48">
        <f>AJ48</f>
        <v>1</v>
      </c>
      <c r="DB48">
        <v>0</v>
      </c>
    </row>
    <row r="49" spans="1:106" ht="12.75">
      <c r="A49">
        <f>ROW(Source!A30)</f>
        <v>30</v>
      </c>
      <c r="B49">
        <v>27243028</v>
      </c>
      <c r="C49">
        <v>27243242</v>
      </c>
      <c r="D49">
        <v>24262159</v>
      </c>
      <c r="E49">
        <v>1</v>
      </c>
      <c r="F49">
        <v>1</v>
      </c>
      <c r="G49">
        <v>1</v>
      </c>
      <c r="H49">
        <v>2</v>
      </c>
      <c r="I49" t="s">
        <v>281</v>
      </c>
      <c r="J49" t="s">
        <v>282</v>
      </c>
      <c r="K49" t="s">
        <v>283</v>
      </c>
      <c r="L49">
        <v>1368</v>
      </c>
      <c r="N49">
        <v>1011</v>
      </c>
      <c r="O49" t="s">
        <v>262</v>
      </c>
      <c r="P49" t="s">
        <v>262</v>
      </c>
      <c r="Q49">
        <v>1</v>
      </c>
      <c r="W49">
        <v>0</v>
      </c>
      <c r="X49">
        <v>-727480001</v>
      </c>
      <c r="Y49">
        <v>0.5</v>
      </c>
      <c r="AA49">
        <v>0</v>
      </c>
      <c r="AB49">
        <v>636.03</v>
      </c>
      <c r="AC49">
        <v>0</v>
      </c>
      <c r="AD49">
        <v>0</v>
      </c>
      <c r="AE49">
        <v>0</v>
      </c>
      <c r="AF49">
        <v>636.03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1</v>
      </c>
      <c r="AQ49">
        <v>1</v>
      </c>
      <c r="AR49">
        <v>0</v>
      </c>
      <c r="AT49">
        <v>0.2</v>
      </c>
      <c r="AU49" t="s">
        <v>68</v>
      </c>
      <c r="AV49">
        <v>0</v>
      </c>
      <c r="AW49">
        <v>2</v>
      </c>
      <c r="AX49">
        <v>27243255</v>
      </c>
      <c r="AY49">
        <v>2</v>
      </c>
      <c r="AZ49">
        <v>98304</v>
      </c>
      <c r="BA49">
        <v>66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127.206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0</v>
      </c>
      <c r="BR49">
        <v>318.015</v>
      </c>
      <c r="BS49">
        <v>0</v>
      </c>
      <c r="BT49">
        <v>0</v>
      </c>
      <c r="BU49">
        <v>0</v>
      </c>
      <c r="BV49">
        <v>0</v>
      </c>
      <c r="BW49">
        <v>1</v>
      </c>
      <c r="CX49">
        <f>Y49*Source!I30</f>
        <v>0.82</v>
      </c>
      <c r="CY49">
        <f>AB49</f>
        <v>636.03</v>
      </c>
      <c r="CZ49">
        <f>AF49</f>
        <v>636.03</v>
      </c>
      <c r="DA49">
        <f>AJ49</f>
        <v>1</v>
      </c>
      <c r="DB49">
        <v>0</v>
      </c>
    </row>
    <row r="50" spans="1:106" ht="12.75">
      <c r="A50">
        <f>ROW(Source!A30)</f>
        <v>30</v>
      </c>
      <c r="B50">
        <v>27243028</v>
      </c>
      <c r="C50">
        <v>27243242</v>
      </c>
      <c r="D50">
        <v>24262102</v>
      </c>
      <c r="E50">
        <v>1</v>
      </c>
      <c r="F50">
        <v>1</v>
      </c>
      <c r="G50">
        <v>1</v>
      </c>
      <c r="H50">
        <v>2</v>
      </c>
      <c r="I50" t="s">
        <v>271</v>
      </c>
      <c r="J50" t="s">
        <v>272</v>
      </c>
      <c r="K50" t="s">
        <v>273</v>
      </c>
      <c r="L50">
        <v>1368</v>
      </c>
      <c r="N50">
        <v>1011</v>
      </c>
      <c r="O50" t="s">
        <v>262</v>
      </c>
      <c r="P50" t="s">
        <v>262</v>
      </c>
      <c r="Q50">
        <v>1</v>
      </c>
      <c r="W50">
        <v>0</v>
      </c>
      <c r="X50">
        <v>596191924</v>
      </c>
      <c r="Y50">
        <v>0.7000000000000001</v>
      </c>
      <c r="AA50">
        <v>0</v>
      </c>
      <c r="AB50">
        <v>698.33</v>
      </c>
      <c r="AC50">
        <v>0</v>
      </c>
      <c r="AD50">
        <v>0</v>
      </c>
      <c r="AE50">
        <v>0</v>
      </c>
      <c r="AF50">
        <v>698.33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1</v>
      </c>
      <c r="AQ50">
        <v>1</v>
      </c>
      <c r="AR50">
        <v>0</v>
      </c>
      <c r="AT50">
        <v>0.28</v>
      </c>
      <c r="AU50" t="s">
        <v>68</v>
      </c>
      <c r="AV50">
        <v>0</v>
      </c>
      <c r="AW50">
        <v>2</v>
      </c>
      <c r="AX50">
        <v>27243257</v>
      </c>
      <c r="AY50">
        <v>2</v>
      </c>
      <c r="AZ50">
        <v>98304</v>
      </c>
      <c r="BA50">
        <v>68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195.53240000000002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488.8310000000001</v>
      </c>
      <c r="BS50">
        <v>0</v>
      </c>
      <c r="BT50">
        <v>0</v>
      </c>
      <c r="BU50">
        <v>0</v>
      </c>
      <c r="BV50">
        <v>0</v>
      </c>
      <c r="BW50">
        <v>1</v>
      </c>
      <c r="CX50">
        <f>Y50*Source!I30</f>
        <v>1.1480000000000001</v>
      </c>
      <c r="CY50">
        <f>AB50</f>
        <v>698.33</v>
      </c>
      <c r="CZ50">
        <f>AF50</f>
        <v>698.33</v>
      </c>
      <c r="DA50">
        <f>AJ50</f>
        <v>1</v>
      </c>
      <c r="DB50">
        <v>0</v>
      </c>
    </row>
    <row r="51" spans="1:106" ht="12.75">
      <c r="A51">
        <f>ROW(Source!A30)</f>
        <v>30</v>
      </c>
      <c r="B51">
        <v>27243028</v>
      </c>
      <c r="C51">
        <v>27243242</v>
      </c>
      <c r="D51">
        <v>0</v>
      </c>
      <c r="E51">
        <v>0</v>
      </c>
      <c r="F51">
        <v>1</v>
      </c>
      <c r="G51">
        <v>1</v>
      </c>
      <c r="H51">
        <v>3</v>
      </c>
      <c r="K51" t="s">
        <v>350</v>
      </c>
      <c r="L51">
        <v>1371</v>
      </c>
      <c r="N51">
        <v>1013</v>
      </c>
      <c r="O51" t="s">
        <v>351</v>
      </c>
      <c r="P51" t="s">
        <v>351</v>
      </c>
      <c r="Q51">
        <v>1</v>
      </c>
      <c r="W51">
        <v>0</v>
      </c>
      <c r="X51">
        <v>1082805108</v>
      </c>
      <c r="Y51">
        <v>500</v>
      </c>
      <c r="AA51">
        <v>4.75</v>
      </c>
      <c r="AB51">
        <v>0</v>
      </c>
      <c r="AC51">
        <v>0</v>
      </c>
      <c r="AD51">
        <v>0</v>
      </c>
      <c r="AE51">
        <v>4.75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2</v>
      </c>
      <c r="AQ51">
        <v>1</v>
      </c>
      <c r="AR51">
        <v>0</v>
      </c>
      <c r="AT51">
        <v>250</v>
      </c>
      <c r="AU51" t="s">
        <v>67</v>
      </c>
      <c r="AV51">
        <v>0</v>
      </c>
      <c r="AW51">
        <v>1</v>
      </c>
      <c r="AX51">
        <v>-1</v>
      </c>
      <c r="AY51">
        <v>0</v>
      </c>
      <c r="AZ51">
        <v>0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1187.5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1</v>
      </c>
      <c r="BQ51">
        <v>2375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1</v>
      </c>
      <c r="CX51">
        <f>Y51*Source!I30</f>
        <v>820</v>
      </c>
      <c r="CY51">
        <f>AA51</f>
        <v>4.75</v>
      </c>
      <c r="CZ51">
        <f>AE51</f>
        <v>4.75</v>
      </c>
      <c r="DA51">
        <f>AI51</f>
        <v>1</v>
      </c>
      <c r="DB51">
        <v>0</v>
      </c>
    </row>
    <row r="52" spans="1:106" ht="12.75">
      <c r="A52">
        <f>ROW(Source!A30)</f>
        <v>30</v>
      </c>
      <c r="B52">
        <v>27243028</v>
      </c>
      <c r="C52">
        <v>27243242</v>
      </c>
      <c r="D52">
        <v>0</v>
      </c>
      <c r="E52">
        <v>0</v>
      </c>
      <c r="F52">
        <v>1</v>
      </c>
      <c r="G52">
        <v>1</v>
      </c>
      <c r="H52">
        <v>3</v>
      </c>
      <c r="K52" t="s">
        <v>352</v>
      </c>
      <c r="L52">
        <v>1371</v>
      </c>
      <c r="N52">
        <v>1013</v>
      </c>
      <c r="O52" t="s">
        <v>351</v>
      </c>
      <c r="P52" t="s">
        <v>351</v>
      </c>
      <c r="Q52">
        <v>1</v>
      </c>
      <c r="W52">
        <v>0</v>
      </c>
      <c r="X52">
        <v>991109161</v>
      </c>
      <c r="Y52">
        <v>500</v>
      </c>
      <c r="AA52">
        <v>0.69</v>
      </c>
      <c r="AB52">
        <v>0</v>
      </c>
      <c r="AC52">
        <v>0</v>
      </c>
      <c r="AD52">
        <v>0</v>
      </c>
      <c r="AE52">
        <v>0.69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2</v>
      </c>
      <c r="AQ52">
        <v>1</v>
      </c>
      <c r="AR52">
        <v>0</v>
      </c>
      <c r="AT52">
        <v>250</v>
      </c>
      <c r="AU52" t="s">
        <v>67</v>
      </c>
      <c r="AV52">
        <v>0</v>
      </c>
      <c r="AW52">
        <v>1</v>
      </c>
      <c r="AX52">
        <v>-1</v>
      </c>
      <c r="AY52">
        <v>0</v>
      </c>
      <c r="AZ52">
        <v>0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172.5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1</v>
      </c>
      <c r="BQ52">
        <v>345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1</v>
      </c>
      <c r="CX52">
        <f>Y52*Source!I30</f>
        <v>820</v>
      </c>
      <c r="CY52">
        <f>AA52</f>
        <v>0.69</v>
      </c>
      <c r="CZ52">
        <f>AE52</f>
        <v>0.69</v>
      </c>
      <c r="DA52">
        <f>AI52</f>
        <v>1</v>
      </c>
      <c r="DB52">
        <v>0</v>
      </c>
    </row>
    <row r="53" spans="1:106" ht="12.75">
      <c r="A53">
        <f>ROW(Source!A30)</f>
        <v>30</v>
      </c>
      <c r="B53">
        <v>27243028</v>
      </c>
      <c r="C53">
        <v>27243242</v>
      </c>
      <c r="D53">
        <v>0</v>
      </c>
      <c r="E53">
        <v>0</v>
      </c>
      <c r="F53">
        <v>1</v>
      </c>
      <c r="G53">
        <v>1</v>
      </c>
      <c r="H53">
        <v>3</v>
      </c>
      <c r="K53" t="s">
        <v>353</v>
      </c>
      <c r="L53">
        <v>1371</v>
      </c>
      <c r="N53">
        <v>1013</v>
      </c>
      <c r="O53" t="s">
        <v>351</v>
      </c>
      <c r="P53" t="s">
        <v>351</v>
      </c>
      <c r="Q53">
        <v>1</v>
      </c>
      <c r="W53">
        <v>0</v>
      </c>
      <c r="X53">
        <v>-498933305</v>
      </c>
      <c r="Y53">
        <v>500</v>
      </c>
      <c r="AA53">
        <v>1.56</v>
      </c>
      <c r="AB53">
        <v>0</v>
      </c>
      <c r="AC53">
        <v>0</v>
      </c>
      <c r="AD53">
        <v>0</v>
      </c>
      <c r="AE53">
        <v>1.56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2</v>
      </c>
      <c r="AQ53">
        <v>1</v>
      </c>
      <c r="AR53">
        <v>0</v>
      </c>
      <c r="AT53">
        <v>250</v>
      </c>
      <c r="AU53" t="s">
        <v>67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390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1</v>
      </c>
      <c r="BQ53">
        <v>780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1</v>
      </c>
      <c r="CX53">
        <f>Y53*Source!I30</f>
        <v>820</v>
      </c>
      <c r="CY53">
        <f>AA53</f>
        <v>1.56</v>
      </c>
      <c r="CZ53">
        <f>AE53</f>
        <v>1.56</v>
      </c>
      <c r="DA53">
        <f>AI53</f>
        <v>1</v>
      </c>
      <c r="DB53">
        <v>0</v>
      </c>
    </row>
    <row r="54" spans="1:106" ht="12.75">
      <c r="A54">
        <f>ROW(Source!A30)</f>
        <v>30</v>
      </c>
      <c r="B54">
        <v>27243028</v>
      </c>
      <c r="C54">
        <v>27243242</v>
      </c>
      <c r="D54">
        <v>24313278</v>
      </c>
      <c r="E54">
        <v>1</v>
      </c>
      <c r="F54">
        <v>1</v>
      </c>
      <c r="G54">
        <v>1</v>
      </c>
      <c r="H54">
        <v>3</v>
      </c>
      <c r="I54" t="s">
        <v>354</v>
      </c>
      <c r="J54" t="s">
        <v>355</v>
      </c>
      <c r="K54" t="s">
        <v>357</v>
      </c>
      <c r="L54">
        <v>1339</v>
      </c>
      <c r="N54">
        <v>1007</v>
      </c>
      <c r="O54" t="s">
        <v>302</v>
      </c>
      <c r="P54" t="s">
        <v>302</v>
      </c>
      <c r="Q54">
        <v>1</v>
      </c>
      <c r="W54">
        <v>0</v>
      </c>
      <c r="X54">
        <v>1407745037</v>
      </c>
      <c r="Y54">
        <v>8.24</v>
      </c>
      <c r="AA54">
        <v>6544.07</v>
      </c>
      <c r="AB54">
        <v>0</v>
      </c>
      <c r="AC54">
        <v>0</v>
      </c>
      <c r="AD54">
        <v>0</v>
      </c>
      <c r="AE54">
        <v>6544.07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1</v>
      </c>
      <c r="AQ54">
        <v>1</v>
      </c>
      <c r="AR54">
        <v>0</v>
      </c>
      <c r="AT54">
        <v>4.12</v>
      </c>
      <c r="AU54" t="s">
        <v>67</v>
      </c>
      <c r="AV54">
        <v>0</v>
      </c>
      <c r="AW54">
        <v>2</v>
      </c>
      <c r="AX54">
        <v>27243259</v>
      </c>
      <c r="AY54">
        <v>2</v>
      </c>
      <c r="AZ54">
        <v>22528</v>
      </c>
      <c r="BA54">
        <v>70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26961.5684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1</v>
      </c>
      <c r="BQ54">
        <v>53923.1368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1</v>
      </c>
      <c r="CX54">
        <f>Y54*Source!I30</f>
        <v>13.5136</v>
      </c>
      <c r="CY54">
        <f>AA54</f>
        <v>6544.07</v>
      </c>
      <c r="CZ54">
        <f>AE54</f>
        <v>6544.07</v>
      </c>
      <c r="DA54">
        <f>AI54</f>
        <v>1</v>
      </c>
      <c r="DB54">
        <v>0</v>
      </c>
    </row>
    <row r="55" spans="1:106" ht="12.75">
      <c r="A55">
        <f>ROW(Source!A31)</f>
        <v>31</v>
      </c>
      <c r="B55">
        <v>27243028</v>
      </c>
      <c r="C55">
        <v>27243260</v>
      </c>
      <c r="D55">
        <v>9415666</v>
      </c>
      <c r="E55">
        <v>1</v>
      </c>
      <c r="F55">
        <v>1</v>
      </c>
      <c r="G55">
        <v>1</v>
      </c>
      <c r="H55">
        <v>1</v>
      </c>
      <c r="I55" t="s">
        <v>274</v>
      </c>
      <c r="K55" t="s">
        <v>275</v>
      </c>
      <c r="L55">
        <v>1369</v>
      </c>
      <c r="N55">
        <v>1013</v>
      </c>
      <c r="O55" t="s">
        <v>258</v>
      </c>
      <c r="P55" t="s">
        <v>258</v>
      </c>
      <c r="Q55">
        <v>1</v>
      </c>
      <c r="W55">
        <v>0</v>
      </c>
      <c r="X55">
        <v>-1371206905</v>
      </c>
      <c r="Y55">
        <v>72.77199999999999</v>
      </c>
      <c r="AA55">
        <v>0</v>
      </c>
      <c r="AB55">
        <v>0</v>
      </c>
      <c r="AC55">
        <v>0</v>
      </c>
      <c r="AD55">
        <v>128.9</v>
      </c>
      <c r="AE55">
        <v>0</v>
      </c>
      <c r="AF55">
        <v>0</v>
      </c>
      <c r="AG55">
        <v>0</v>
      </c>
      <c r="AH55">
        <v>128.9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1</v>
      </c>
      <c r="AQ55">
        <v>1</v>
      </c>
      <c r="AR55">
        <v>0</v>
      </c>
      <c r="AT55">
        <v>63.28</v>
      </c>
      <c r="AU55" t="s">
        <v>39</v>
      </c>
      <c r="AV55">
        <v>1</v>
      </c>
      <c r="AW55">
        <v>2</v>
      </c>
      <c r="AX55">
        <v>27243279</v>
      </c>
      <c r="AY55">
        <v>2</v>
      </c>
      <c r="AZ55">
        <v>131072</v>
      </c>
      <c r="BA55">
        <v>71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8156.792</v>
      </c>
      <c r="BN55">
        <v>63.28</v>
      </c>
      <c r="BO55">
        <v>0</v>
      </c>
      <c r="BP55">
        <v>1</v>
      </c>
      <c r="BQ55">
        <v>0</v>
      </c>
      <c r="BR55">
        <v>0</v>
      </c>
      <c r="BS55">
        <v>0</v>
      </c>
      <c r="BT55">
        <v>9380.3108</v>
      </c>
      <c r="BU55">
        <v>72.77199999999999</v>
      </c>
      <c r="BV55">
        <v>0</v>
      </c>
      <c r="BW55">
        <v>1</v>
      </c>
      <c r="CX55">
        <f>Y55*Source!I31</f>
        <v>104.79167999999999</v>
      </c>
      <c r="CY55">
        <f>AD55</f>
        <v>128.9</v>
      </c>
      <c r="CZ55">
        <f>AH55</f>
        <v>128.9</v>
      </c>
      <c r="DA55">
        <f>AL55</f>
        <v>1</v>
      </c>
      <c r="DB55">
        <v>0</v>
      </c>
    </row>
    <row r="56" spans="1:106" ht="12.75">
      <c r="A56">
        <f>ROW(Source!A31)</f>
        <v>31</v>
      </c>
      <c r="B56">
        <v>27243028</v>
      </c>
      <c r="C56">
        <v>27243260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23</v>
      </c>
      <c r="K56" t="s">
        <v>276</v>
      </c>
      <c r="L56">
        <v>608254</v>
      </c>
      <c r="N56">
        <v>1013</v>
      </c>
      <c r="O56" t="s">
        <v>277</v>
      </c>
      <c r="P56" t="s">
        <v>277</v>
      </c>
      <c r="Q56">
        <v>1</v>
      </c>
      <c r="W56">
        <v>0</v>
      </c>
      <c r="X56">
        <v>-185737400</v>
      </c>
      <c r="Y56">
        <v>4.7749999999999995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1</v>
      </c>
      <c r="AQ56">
        <v>1</v>
      </c>
      <c r="AR56">
        <v>0</v>
      </c>
      <c r="AT56">
        <v>3.82</v>
      </c>
      <c r="AU56" t="s">
        <v>38</v>
      </c>
      <c r="AV56">
        <v>2</v>
      </c>
      <c r="AW56">
        <v>2</v>
      </c>
      <c r="AX56">
        <v>27243280</v>
      </c>
      <c r="AY56">
        <v>1</v>
      </c>
      <c r="AZ56">
        <v>0</v>
      </c>
      <c r="BA56">
        <v>72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3.82</v>
      </c>
      <c r="BP56">
        <v>1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4.7749999999999995</v>
      </c>
      <c r="BW56">
        <v>1</v>
      </c>
      <c r="CX56">
        <f>Y56*Source!I31</f>
        <v>6.875999999999999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ht="12.75">
      <c r="A57">
        <f>ROW(Source!A31)</f>
        <v>31</v>
      </c>
      <c r="B57">
        <v>27243028</v>
      </c>
      <c r="C57">
        <v>27243260</v>
      </c>
      <c r="D57">
        <v>24316122</v>
      </c>
      <c r="E57">
        <v>1</v>
      </c>
      <c r="F57">
        <v>1</v>
      </c>
      <c r="G57">
        <v>1</v>
      </c>
      <c r="H57">
        <v>2</v>
      </c>
      <c r="I57" t="s">
        <v>278</v>
      </c>
      <c r="J57" t="s">
        <v>279</v>
      </c>
      <c r="K57" t="s">
        <v>280</v>
      </c>
      <c r="L57">
        <v>1368</v>
      </c>
      <c r="N57">
        <v>1011</v>
      </c>
      <c r="O57" t="s">
        <v>262</v>
      </c>
      <c r="P57" t="s">
        <v>262</v>
      </c>
      <c r="Q57">
        <v>1</v>
      </c>
      <c r="W57">
        <v>0</v>
      </c>
      <c r="X57">
        <v>-1808231073</v>
      </c>
      <c r="Y57">
        <v>0.125</v>
      </c>
      <c r="AA57">
        <v>0</v>
      </c>
      <c r="AB57">
        <v>723.53</v>
      </c>
      <c r="AC57">
        <v>0</v>
      </c>
      <c r="AD57">
        <v>0</v>
      </c>
      <c r="AE57">
        <v>0</v>
      </c>
      <c r="AF57">
        <v>723.53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1</v>
      </c>
      <c r="AQ57">
        <v>1</v>
      </c>
      <c r="AR57">
        <v>0</v>
      </c>
      <c r="AT57">
        <v>0.1</v>
      </c>
      <c r="AU57" t="s">
        <v>38</v>
      </c>
      <c r="AV57">
        <v>0</v>
      </c>
      <c r="AW57">
        <v>2</v>
      </c>
      <c r="AX57">
        <v>27243281</v>
      </c>
      <c r="AY57">
        <v>2</v>
      </c>
      <c r="AZ57">
        <v>98304</v>
      </c>
      <c r="BA57">
        <v>73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72.353</v>
      </c>
      <c r="BL57">
        <v>0</v>
      </c>
      <c r="BM57">
        <v>0</v>
      </c>
      <c r="BN57">
        <v>0</v>
      </c>
      <c r="BO57">
        <v>0</v>
      </c>
      <c r="BP57">
        <v>1</v>
      </c>
      <c r="BQ57">
        <v>0</v>
      </c>
      <c r="BR57">
        <v>90.44125</v>
      </c>
      <c r="BS57">
        <v>0</v>
      </c>
      <c r="BT57">
        <v>0</v>
      </c>
      <c r="BU57">
        <v>0</v>
      </c>
      <c r="BV57">
        <v>0</v>
      </c>
      <c r="BW57">
        <v>1</v>
      </c>
      <c r="CX57">
        <f>Y57*Source!I31</f>
        <v>0.18</v>
      </c>
      <c r="CY57">
        <f aca="true" t="shared" si="6" ref="CY57:CY62">AB57</f>
        <v>723.53</v>
      </c>
      <c r="CZ57">
        <f aca="true" t="shared" si="7" ref="CZ57:CZ62">AF57</f>
        <v>723.53</v>
      </c>
      <c r="DA57">
        <f aca="true" t="shared" si="8" ref="DA57:DA62">AJ57</f>
        <v>1</v>
      </c>
      <c r="DB57">
        <v>0</v>
      </c>
    </row>
    <row r="58" spans="1:106" ht="12.75">
      <c r="A58">
        <f>ROW(Source!A31)</f>
        <v>31</v>
      </c>
      <c r="B58">
        <v>27243028</v>
      </c>
      <c r="C58">
        <v>27243260</v>
      </c>
      <c r="D58">
        <v>24262159</v>
      </c>
      <c r="E58">
        <v>1</v>
      </c>
      <c r="F58">
        <v>1</v>
      </c>
      <c r="G58">
        <v>1</v>
      </c>
      <c r="H58">
        <v>2</v>
      </c>
      <c r="I58" t="s">
        <v>281</v>
      </c>
      <c r="J58" t="s">
        <v>282</v>
      </c>
      <c r="K58" t="s">
        <v>283</v>
      </c>
      <c r="L58">
        <v>1368</v>
      </c>
      <c r="N58">
        <v>1011</v>
      </c>
      <c r="O58" t="s">
        <v>262</v>
      </c>
      <c r="P58" t="s">
        <v>262</v>
      </c>
      <c r="Q58">
        <v>1</v>
      </c>
      <c r="W58">
        <v>0</v>
      </c>
      <c r="X58">
        <v>-727480001</v>
      </c>
      <c r="Y58">
        <v>0.15</v>
      </c>
      <c r="AA58">
        <v>0</v>
      </c>
      <c r="AB58">
        <v>636.03</v>
      </c>
      <c r="AC58">
        <v>0</v>
      </c>
      <c r="AD58">
        <v>0</v>
      </c>
      <c r="AE58">
        <v>0</v>
      </c>
      <c r="AF58">
        <v>636.03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1</v>
      </c>
      <c r="AQ58">
        <v>1</v>
      </c>
      <c r="AR58">
        <v>0</v>
      </c>
      <c r="AT58">
        <v>0.12</v>
      </c>
      <c r="AU58" t="s">
        <v>38</v>
      </c>
      <c r="AV58">
        <v>0</v>
      </c>
      <c r="AW58">
        <v>2</v>
      </c>
      <c r="AX58">
        <v>27243282</v>
      </c>
      <c r="AY58">
        <v>2</v>
      </c>
      <c r="AZ58">
        <v>98304</v>
      </c>
      <c r="BA58">
        <v>74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76.3236</v>
      </c>
      <c r="BL58">
        <v>0</v>
      </c>
      <c r="BM58">
        <v>0</v>
      </c>
      <c r="BN58">
        <v>0</v>
      </c>
      <c r="BO58">
        <v>0</v>
      </c>
      <c r="BP58">
        <v>1</v>
      </c>
      <c r="BQ58">
        <v>0</v>
      </c>
      <c r="BR58">
        <v>95.4045</v>
      </c>
      <c r="BS58">
        <v>0</v>
      </c>
      <c r="BT58">
        <v>0</v>
      </c>
      <c r="BU58">
        <v>0</v>
      </c>
      <c r="BV58">
        <v>0</v>
      </c>
      <c r="BW58">
        <v>1</v>
      </c>
      <c r="CX58">
        <f>Y58*Source!I31</f>
        <v>0.216</v>
      </c>
      <c r="CY58">
        <f t="shared" si="6"/>
        <v>636.03</v>
      </c>
      <c r="CZ58">
        <f t="shared" si="7"/>
        <v>636.03</v>
      </c>
      <c r="DA58">
        <f t="shared" si="8"/>
        <v>1</v>
      </c>
      <c r="DB58">
        <v>0</v>
      </c>
    </row>
    <row r="59" spans="1:106" ht="12.75">
      <c r="A59">
        <f>ROW(Source!A31)</f>
        <v>31</v>
      </c>
      <c r="B59">
        <v>27243028</v>
      </c>
      <c r="C59">
        <v>27243260</v>
      </c>
      <c r="D59">
        <v>24293024</v>
      </c>
      <c r="E59">
        <v>1</v>
      </c>
      <c r="F59">
        <v>1</v>
      </c>
      <c r="G59">
        <v>1</v>
      </c>
      <c r="H59">
        <v>2</v>
      </c>
      <c r="I59" t="s">
        <v>284</v>
      </c>
      <c r="J59" t="s">
        <v>285</v>
      </c>
      <c r="K59" t="s">
        <v>286</v>
      </c>
      <c r="L59">
        <v>1368</v>
      </c>
      <c r="N59">
        <v>1011</v>
      </c>
      <c r="O59" t="s">
        <v>262</v>
      </c>
      <c r="P59" t="s">
        <v>262</v>
      </c>
      <c r="Q59">
        <v>1</v>
      </c>
      <c r="W59">
        <v>0</v>
      </c>
      <c r="X59">
        <v>-1429022464</v>
      </c>
      <c r="Y59">
        <v>4.5</v>
      </c>
      <c r="AA59">
        <v>0</v>
      </c>
      <c r="AB59">
        <v>923.13</v>
      </c>
      <c r="AC59">
        <v>0</v>
      </c>
      <c r="AD59">
        <v>0</v>
      </c>
      <c r="AE59">
        <v>0</v>
      </c>
      <c r="AF59">
        <v>923.13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1</v>
      </c>
      <c r="AQ59">
        <v>1</v>
      </c>
      <c r="AR59">
        <v>0</v>
      </c>
      <c r="AT59">
        <v>3.6</v>
      </c>
      <c r="AU59" t="s">
        <v>38</v>
      </c>
      <c r="AV59">
        <v>0</v>
      </c>
      <c r="AW59">
        <v>2</v>
      </c>
      <c r="AX59">
        <v>27243283</v>
      </c>
      <c r="AY59">
        <v>2</v>
      </c>
      <c r="AZ59">
        <v>98304</v>
      </c>
      <c r="BA59">
        <v>75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3323.268</v>
      </c>
      <c r="BL59">
        <v>0</v>
      </c>
      <c r="BM59">
        <v>0</v>
      </c>
      <c r="BN59">
        <v>0</v>
      </c>
      <c r="BO59">
        <v>0</v>
      </c>
      <c r="BP59">
        <v>1</v>
      </c>
      <c r="BQ59">
        <v>0</v>
      </c>
      <c r="BR59">
        <v>4154.085</v>
      </c>
      <c r="BS59">
        <v>0</v>
      </c>
      <c r="BT59">
        <v>0</v>
      </c>
      <c r="BU59">
        <v>0</v>
      </c>
      <c r="BV59">
        <v>0</v>
      </c>
      <c r="BW59">
        <v>1</v>
      </c>
      <c r="CX59">
        <f>Y59*Source!I31</f>
        <v>6.4799999999999995</v>
      </c>
      <c r="CY59">
        <f t="shared" si="6"/>
        <v>923.13</v>
      </c>
      <c r="CZ59">
        <f t="shared" si="7"/>
        <v>923.13</v>
      </c>
      <c r="DA59">
        <f t="shared" si="8"/>
        <v>1</v>
      </c>
      <c r="DB59">
        <v>0</v>
      </c>
    </row>
    <row r="60" spans="1:106" ht="12.75">
      <c r="A60">
        <f>ROW(Source!A31)</f>
        <v>31</v>
      </c>
      <c r="B60">
        <v>27243028</v>
      </c>
      <c r="C60">
        <v>27243260</v>
      </c>
      <c r="D60">
        <v>24270272</v>
      </c>
      <c r="E60">
        <v>1</v>
      </c>
      <c r="F60">
        <v>1</v>
      </c>
      <c r="G60">
        <v>1</v>
      </c>
      <c r="H60">
        <v>2</v>
      </c>
      <c r="I60" t="s">
        <v>290</v>
      </c>
      <c r="J60" t="s">
        <v>291</v>
      </c>
      <c r="K60" t="s">
        <v>292</v>
      </c>
      <c r="L60">
        <v>1368</v>
      </c>
      <c r="N60">
        <v>1011</v>
      </c>
      <c r="O60" t="s">
        <v>262</v>
      </c>
      <c r="P60" t="s">
        <v>262</v>
      </c>
      <c r="Q60">
        <v>1</v>
      </c>
      <c r="W60">
        <v>0</v>
      </c>
      <c r="X60">
        <v>1075212921</v>
      </c>
      <c r="Y60">
        <v>1.675</v>
      </c>
      <c r="AA60">
        <v>0</v>
      </c>
      <c r="AB60">
        <v>5.98</v>
      </c>
      <c r="AC60">
        <v>0</v>
      </c>
      <c r="AD60">
        <v>0</v>
      </c>
      <c r="AE60">
        <v>0</v>
      </c>
      <c r="AF60">
        <v>5.98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1</v>
      </c>
      <c r="AQ60">
        <v>1</v>
      </c>
      <c r="AR60">
        <v>0</v>
      </c>
      <c r="AT60">
        <v>1.34</v>
      </c>
      <c r="AU60" t="s">
        <v>38</v>
      </c>
      <c r="AV60">
        <v>0</v>
      </c>
      <c r="AW60">
        <v>2</v>
      </c>
      <c r="AX60">
        <v>27243284</v>
      </c>
      <c r="AY60">
        <v>2</v>
      </c>
      <c r="AZ60">
        <v>32768</v>
      </c>
      <c r="BA60">
        <v>76</v>
      </c>
      <c r="BB60">
        <v>1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8.013200000000001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0</v>
      </c>
      <c r="BR60">
        <v>10.0165</v>
      </c>
      <c r="BS60">
        <v>0</v>
      </c>
      <c r="BT60">
        <v>0</v>
      </c>
      <c r="BU60">
        <v>0</v>
      </c>
      <c r="BV60">
        <v>0</v>
      </c>
      <c r="BW60">
        <v>1</v>
      </c>
      <c r="CX60">
        <f>Y60*Source!I31</f>
        <v>2.412</v>
      </c>
      <c r="CY60">
        <f t="shared" si="6"/>
        <v>5.98</v>
      </c>
      <c r="CZ60">
        <f t="shared" si="7"/>
        <v>5.98</v>
      </c>
      <c r="DA60">
        <f t="shared" si="8"/>
        <v>1</v>
      </c>
      <c r="DB60">
        <v>0</v>
      </c>
    </row>
    <row r="61" spans="1:106" ht="12.75">
      <c r="A61">
        <f>ROW(Source!A31)</f>
        <v>31</v>
      </c>
      <c r="B61">
        <v>27243028</v>
      </c>
      <c r="C61">
        <v>27243260</v>
      </c>
      <c r="D61">
        <v>24298562</v>
      </c>
      <c r="E61">
        <v>1</v>
      </c>
      <c r="F61">
        <v>1</v>
      </c>
      <c r="G61">
        <v>1</v>
      </c>
      <c r="H61">
        <v>2</v>
      </c>
      <c r="I61" t="s">
        <v>293</v>
      </c>
      <c r="J61" t="s">
        <v>294</v>
      </c>
      <c r="K61" t="s">
        <v>295</v>
      </c>
      <c r="L61">
        <v>1368</v>
      </c>
      <c r="N61">
        <v>1011</v>
      </c>
      <c r="O61" t="s">
        <v>262</v>
      </c>
      <c r="P61" t="s">
        <v>262</v>
      </c>
      <c r="Q61">
        <v>1</v>
      </c>
      <c r="W61">
        <v>0</v>
      </c>
      <c r="X61">
        <v>2080940917</v>
      </c>
      <c r="Y61">
        <v>0.125</v>
      </c>
      <c r="AA61">
        <v>0</v>
      </c>
      <c r="AB61">
        <v>96.21</v>
      </c>
      <c r="AC61">
        <v>0</v>
      </c>
      <c r="AD61">
        <v>0</v>
      </c>
      <c r="AE61">
        <v>0</v>
      </c>
      <c r="AF61">
        <v>96.21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1</v>
      </c>
      <c r="AQ61">
        <v>1</v>
      </c>
      <c r="AR61">
        <v>0</v>
      </c>
      <c r="AT61">
        <v>0.1</v>
      </c>
      <c r="AU61" t="s">
        <v>38</v>
      </c>
      <c r="AV61">
        <v>0</v>
      </c>
      <c r="AW61">
        <v>2</v>
      </c>
      <c r="AX61">
        <v>27243285</v>
      </c>
      <c r="AY61">
        <v>2</v>
      </c>
      <c r="AZ61">
        <v>32768</v>
      </c>
      <c r="BA61">
        <v>77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9.621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12.02625</v>
      </c>
      <c r="BS61">
        <v>0</v>
      </c>
      <c r="BT61">
        <v>0</v>
      </c>
      <c r="BU61">
        <v>0</v>
      </c>
      <c r="BV61">
        <v>0</v>
      </c>
      <c r="BW61">
        <v>1</v>
      </c>
      <c r="CX61">
        <f>Y61*Source!I31</f>
        <v>0.18</v>
      </c>
      <c r="CY61">
        <f t="shared" si="6"/>
        <v>96.21</v>
      </c>
      <c r="CZ61">
        <f t="shared" si="7"/>
        <v>96.21</v>
      </c>
      <c r="DA61">
        <f t="shared" si="8"/>
        <v>1</v>
      </c>
      <c r="DB61">
        <v>0</v>
      </c>
    </row>
    <row r="62" spans="1:106" ht="12.75">
      <c r="A62">
        <f>ROW(Source!A31)</f>
        <v>31</v>
      </c>
      <c r="B62">
        <v>27243028</v>
      </c>
      <c r="C62">
        <v>27243260</v>
      </c>
      <c r="D62">
        <v>24262102</v>
      </c>
      <c r="E62">
        <v>1</v>
      </c>
      <c r="F62">
        <v>1</v>
      </c>
      <c r="G62">
        <v>1</v>
      </c>
      <c r="H62">
        <v>2</v>
      </c>
      <c r="I62" t="s">
        <v>271</v>
      </c>
      <c r="J62" t="s">
        <v>272</v>
      </c>
      <c r="K62" t="s">
        <v>273</v>
      </c>
      <c r="L62">
        <v>1368</v>
      </c>
      <c r="N62">
        <v>1011</v>
      </c>
      <c r="O62" t="s">
        <v>262</v>
      </c>
      <c r="P62" t="s">
        <v>262</v>
      </c>
      <c r="Q62">
        <v>1</v>
      </c>
      <c r="W62">
        <v>0</v>
      </c>
      <c r="X62">
        <v>596191924</v>
      </c>
      <c r="Y62">
        <v>0.2375</v>
      </c>
      <c r="AA62">
        <v>0</v>
      </c>
      <c r="AB62">
        <v>698.33</v>
      </c>
      <c r="AC62">
        <v>0</v>
      </c>
      <c r="AD62">
        <v>0</v>
      </c>
      <c r="AE62">
        <v>0</v>
      </c>
      <c r="AF62">
        <v>698.33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1</v>
      </c>
      <c r="AQ62">
        <v>1</v>
      </c>
      <c r="AR62">
        <v>0</v>
      </c>
      <c r="AT62">
        <v>0.19</v>
      </c>
      <c r="AU62" t="s">
        <v>38</v>
      </c>
      <c r="AV62">
        <v>0</v>
      </c>
      <c r="AW62">
        <v>2</v>
      </c>
      <c r="AX62">
        <v>27243286</v>
      </c>
      <c r="AY62">
        <v>2</v>
      </c>
      <c r="AZ62">
        <v>98304</v>
      </c>
      <c r="BA62">
        <v>78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132.6827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0</v>
      </c>
      <c r="BR62">
        <v>165.853375</v>
      </c>
      <c r="BS62">
        <v>0</v>
      </c>
      <c r="BT62">
        <v>0</v>
      </c>
      <c r="BU62">
        <v>0</v>
      </c>
      <c r="BV62">
        <v>0</v>
      </c>
      <c r="BW62">
        <v>1</v>
      </c>
      <c r="CX62">
        <f>Y62*Source!I31</f>
        <v>0.34199999999999997</v>
      </c>
      <c r="CY62">
        <f t="shared" si="6"/>
        <v>698.33</v>
      </c>
      <c r="CZ62">
        <f t="shared" si="7"/>
        <v>698.33</v>
      </c>
      <c r="DA62">
        <f t="shared" si="8"/>
        <v>1</v>
      </c>
      <c r="DB62">
        <v>0</v>
      </c>
    </row>
    <row r="63" spans="1:106" ht="12.75">
      <c r="A63">
        <f>ROW(Source!A31)</f>
        <v>31</v>
      </c>
      <c r="B63">
        <v>27243028</v>
      </c>
      <c r="C63">
        <v>27243260</v>
      </c>
      <c r="D63">
        <v>24270256</v>
      </c>
      <c r="E63">
        <v>1</v>
      </c>
      <c r="F63">
        <v>1</v>
      </c>
      <c r="G63">
        <v>1</v>
      </c>
      <c r="H63">
        <v>3</v>
      </c>
      <c r="I63" t="s">
        <v>299</v>
      </c>
      <c r="J63" t="s">
        <v>300</v>
      </c>
      <c r="K63" t="s">
        <v>301</v>
      </c>
      <c r="L63">
        <v>1339</v>
      </c>
      <c r="N63">
        <v>1007</v>
      </c>
      <c r="O63" t="s">
        <v>302</v>
      </c>
      <c r="P63" t="s">
        <v>302</v>
      </c>
      <c r="Q63">
        <v>1</v>
      </c>
      <c r="W63">
        <v>0</v>
      </c>
      <c r="X63">
        <v>1626293865</v>
      </c>
      <c r="Y63">
        <v>1.2</v>
      </c>
      <c r="AA63">
        <v>43</v>
      </c>
      <c r="AB63">
        <v>0</v>
      </c>
      <c r="AC63">
        <v>0</v>
      </c>
      <c r="AD63">
        <v>0</v>
      </c>
      <c r="AE63">
        <v>43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1</v>
      </c>
      <c r="AQ63">
        <v>1</v>
      </c>
      <c r="AR63">
        <v>0</v>
      </c>
      <c r="AT63">
        <v>1.2</v>
      </c>
      <c r="AV63">
        <v>0</v>
      </c>
      <c r="AW63">
        <v>2</v>
      </c>
      <c r="AX63">
        <v>27243288</v>
      </c>
      <c r="AY63">
        <v>2</v>
      </c>
      <c r="AZ63">
        <v>16384</v>
      </c>
      <c r="BA63">
        <v>80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51.6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1</v>
      </c>
      <c r="BQ63">
        <v>51.6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CX63">
        <f>Y63*Source!I31</f>
        <v>1.728</v>
      </c>
      <c r="CY63">
        <f aca="true" t="shared" si="9" ref="CY63:CY72">AA63</f>
        <v>43</v>
      </c>
      <c r="CZ63">
        <f aca="true" t="shared" si="10" ref="CZ63:CZ72">AE63</f>
        <v>43</v>
      </c>
      <c r="DA63">
        <f aca="true" t="shared" si="11" ref="DA63:DA72">AI63</f>
        <v>1</v>
      </c>
      <c r="DB63">
        <v>0</v>
      </c>
    </row>
    <row r="64" spans="1:106" ht="12.75">
      <c r="A64">
        <f>ROW(Source!A31)</f>
        <v>31</v>
      </c>
      <c r="B64">
        <v>27243028</v>
      </c>
      <c r="C64">
        <v>27243260</v>
      </c>
      <c r="D64">
        <v>24264207</v>
      </c>
      <c r="E64">
        <v>1</v>
      </c>
      <c r="F64">
        <v>1</v>
      </c>
      <c r="G64">
        <v>1</v>
      </c>
      <c r="H64">
        <v>3</v>
      </c>
      <c r="I64" t="s">
        <v>303</v>
      </c>
      <c r="J64" t="s">
        <v>304</v>
      </c>
      <c r="K64" t="s">
        <v>305</v>
      </c>
      <c r="L64">
        <v>1348</v>
      </c>
      <c r="N64">
        <v>1009</v>
      </c>
      <c r="O64" t="s">
        <v>100</v>
      </c>
      <c r="P64" t="s">
        <v>100</v>
      </c>
      <c r="Q64">
        <v>1000</v>
      </c>
      <c r="W64">
        <v>0</v>
      </c>
      <c r="X64">
        <v>1887229518</v>
      </c>
      <c r="Y64">
        <v>3E-05</v>
      </c>
      <c r="AA64">
        <v>68136</v>
      </c>
      <c r="AB64">
        <v>0</v>
      </c>
      <c r="AC64">
        <v>0</v>
      </c>
      <c r="AD64">
        <v>0</v>
      </c>
      <c r="AE64">
        <v>68136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1</v>
      </c>
      <c r="AQ64">
        <v>1</v>
      </c>
      <c r="AR64">
        <v>0</v>
      </c>
      <c r="AT64">
        <v>3E-05</v>
      </c>
      <c r="AV64">
        <v>0</v>
      </c>
      <c r="AW64">
        <v>2</v>
      </c>
      <c r="AX64">
        <v>27243289</v>
      </c>
      <c r="AY64">
        <v>2</v>
      </c>
      <c r="AZ64">
        <v>16384</v>
      </c>
      <c r="BA64">
        <v>81</v>
      </c>
      <c r="BB64">
        <v>1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2.04408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1</v>
      </c>
      <c r="BQ64">
        <v>2.04408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1</v>
      </c>
      <c r="CX64">
        <f>Y64*Source!I31</f>
        <v>4.32E-05</v>
      </c>
      <c r="CY64">
        <f t="shared" si="9"/>
        <v>68136</v>
      </c>
      <c r="CZ64">
        <f t="shared" si="10"/>
        <v>68136</v>
      </c>
      <c r="DA64">
        <f t="shared" si="11"/>
        <v>1</v>
      </c>
      <c r="DB64">
        <v>0</v>
      </c>
    </row>
    <row r="65" spans="1:106" ht="12.75">
      <c r="A65">
        <f>ROW(Source!A31)</f>
        <v>31</v>
      </c>
      <c r="B65">
        <v>27243028</v>
      </c>
      <c r="C65">
        <v>27243260</v>
      </c>
      <c r="D65">
        <v>24289060</v>
      </c>
      <c r="E65">
        <v>1</v>
      </c>
      <c r="F65">
        <v>1</v>
      </c>
      <c r="G65">
        <v>1</v>
      </c>
      <c r="H65">
        <v>3</v>
      </c>
      <c r="I65" t="s">
        <v>306</v>
      </c>
      <c r="J65" t="s">
        <v>307</v>
      </c>
      <c r="K65" t="s">
        <v>308</v>
      </c>
      <c r="L65">
        <v>1348</v>
      </c>
      <c r="N65">
        <v>1009</v>
      </c>
      <c r="O65" t="s">
        <v>100</v>
      </c>
      <c r="P65" t="s">
        <v>100</v>
      </c>
      <c r="Q65">
        <v>1000</v>
      </c>
      <c r="W65">
        <v>0</v>
      </c>
      <c r="X65">
        <v>-1207479842</v>
      </c>
      <c r="Y65">
        <v>0.00044</v>
      </c>
      <c r="AA65">
        <v>73728.6</v>
      </c>
      <c r="AB65">
        <v>0</v>
      </c>
      <c r="AC65">
        <v>0</v>
      </c>
      <c r="AD65">
        <v>0</v>
      </c>
      <c r="AE65">
        <v>73728.6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1</v>
      </c>
      <c r="AQ65">
        <v>1</v>
      </c>
      <c r="AR65">
        <v>0</v>
      </c>
      <c r="AT65">
        <v>0.00044</v>
      </c>
      <c r="AV65">
        <v>0</v>
      </c>
      <c r="AW65">
        <v>2</v>
      </c>
      <c r="AX65">
        <v>27243291</v>
      </c>
      <c r="AY65">
        <v>2</v>
      </c>
      <c r="AZ65">
        <v>16384</v>
      </c>
      <c r="BA65">
        <v>83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32.440584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1</v>
      </c>
      <c r="BQ65">
        <v>32.440584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1</v>
      </c>
      <c r="CX65">
        <f>Y65*Source!I31</f>
        <v>0.0006336</v>
      </c>
      <c r="CY65">
        <f t="shared" si="9"/>
        <v>73728.6</v>
      </c>
      <c r="CZ65">
        <f t="shared" si="10"/>
        <v>73728.6</v>
      </c>
      <c r="DA65">
        <f t="shared" si="11"/>
        <v>1</v>
      </c>
      <c r="DB65">
        <v>0</v>
      </c>
    </row>
    <row r="66" spans="1:106" ht="12.75">
      <c r="A66">
        <f>ROW(Source!A31)</f>
        <v>31</v>
      </c>
      <c r="B66">
        <v>27243028</v>
      </c>
      <c r="C66">
        <v>27243260</v>
      </c>
      <c r="D66">
        <v>24262125</v>
      </c>
      <c r="E66">
        <v>1</v>
      </c>
      <c r="F66">
        <v>1</v>
      </c>
      <c r="G66">
        <v>1</v>
      </c>
      <c r="H66">
        <v>3</v>
      </c>
      <c r="I66" t="s">
        <v>309</v>
      </c>
      <c r="J66" t="s">
        <v>310</v>
      </c>
      <c r="K66" t="s">
        <v>311</v>
      </c>
      <c r="L66">
        <v>1348</v>
      </c>
      <c r="N66">
        <v>1009</v>
      </c>
      <c r="O66" t="s">
        <v>100</v>
      </c>
      <c r="P66" t="s">
        <v>100</v>
      </c>
      <c r="Q66">
        <v>1000</v>
      </c>
      <c r="W66">
        <v>0</v>
      </c>
      <c r="X66">
        <v>-92979198</v>
      </c>
      <c r="Y66">
        <v>0.021</v>
      </c>
      <c r="AA66">
        <v>98305.08</v>
      </c>
      <c r="AB66">
        <v>0</v>
      </c>
      <c r="AC66">
        <v>0</v>
      </c>
      <c r="AD66">
        <v>0</v>
      </c>
      <c r="AE66">
        <v>98305.08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1</v>
      </c>
      <c r="AQ66">
        <v>1</v>
      </c>
      <c r="AR66">
        <v>0</v>
      </c>
      <c r="AT66">
        <v>0.021</v>
      </c>
      <c r="AV66">
        <v>0</v>
      </c>
      <c r="AW66">
        <v>2</v>
      </c>
      <c r="AX66">
        <v>27243292</v>
      </c>
      <c r="AY66">
        <v>2</v>
      </c>
      <c r="AZ66">
        <v>16384</v>
      </c>
      <c r="BA66">
        <v>84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2064.40668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2064.40668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1</v>
      </c>
      <c r="CX66">
        <f>Y66*Source!I31</f>
        <v>0.03024</v>
      </c>
      <c r="CY66">
        <f t="shared" si="9"/>
        <v>98305.08</v>
      </c>
      <c r="CZ66">
        <f t="shared" si="10"/>
        <v>98305.08</v>
      </c>
      <c r="DA66">
        <f t="shared" si="11"/>
        <v>1</v>
      </c>
      <c r="DB66">
        <v>0</v>
      </c>
    </row>
    <row r="67" spans="1:106" ht="12.75">
      <c r="A67">
        <f>ROW(Source!A31)</f>
        <v>31</v>
      </c>
      <c r="B67">
        <v>27243028</v>
      </c>
      <c r="C67">
        <v>27243260</v>
      </c>
      <c r="D67">
        <v>24262152</v>
      </c>
      <c r="E67">
        <v>1</v>
      </c>
      <c r="F67">
        <v>1</v>
      </c>
      <c r="G67">
        <v>1</v>
      </c>
      <c r="H67">
        <v>3</v>
      </c>
      <c r="I67" t="s">
        <v>358</v>
      </c>
      <c r="J67" t="s">
        <v>359</v>
      </c>
      <c r="K67" t="s">
        <v>360</v>
      </c>
      <c r="L67">
        <v>1348</v>
      </c>
      <c r="N67">
        <v>1009</v>
      </c>
      <c r="O67" t="s">
        <v>100</v>
      </c>
      <c r="P67" t="s">
        <v>100</v>
      </c>
      <c r="Q67">
        <v>1000</v>
      </c>
      <c r="W67">
        <v>0</v>
      </c>
      <c r="X67">
        <v>-421673074</v>
      </c>
      <c r="Y67">
        <v>1E-05</v>
      </c>
      <c r="AA67">
        <v>65000</v>
      </c>
      <c r="AB67">
        <v>0</v>
      </c>
      <c r="AC67">
        <v>0</v>
      </c>
      <c r="AD67">
        <v>0</v>
      </c>
      <c r="AE67">
        <v>65000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1</v>
      </c>
      <c r="AR67">
        <v>0</v>
      </c>
      <c r="AT67">
        <v>1E-05</v>
      </c>
      <c r="AV67">
        <v>0</v>
      </c>
      <c r="AW67">
        <v>2</v>
      </c>
      <c r="AX67">
        <v>27243293</v>
      </c>
      <c r="AY67">
        <v>2</v>
      </c>
      <c r="AZ67">
        <v>16384</v>
      </c>
      <c r="BA67">
        <v>85</v>
      </c>
      <c r="BB67">
        <v>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0.65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1</v>
      </c>
      <c r="BQ67">
        <v>0.65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1</v>
      </c>
      <c r="CX67">
        <f>Y67*Source!I31</f>
        <v>1.4400000000000001E-05</v>
      </c>
      <c r="CY67">
        <f t="shared" si="9"/>
        <v>65000</v>
      </c>
      <c r="CZ67">
        <f t="shared" si="10"/>
        <v>65000</v>
      </c>
      <c r="DA67">
        <f t="shared" si="11"/>
        <v>1</v>
      </c>
      <c r="DB67">
        <v>0</v>
      </c>
    </row>
    <row r="68" spans="1:106" ht="12.75">
      <c r="A68">
        <f>ROW(Source!A31)</f>
        <v>31</v>
      </c>
      <c r="B68">
        <v>27243028</v>
      </c>
      <c r="C68">
        <v>27243260</v>
      </c>
      <c r="D68">
        <v>24285323</v>
      </c>
      <c r="E68">
        <v>1</v>
      </c>
      <c r="F68">
        <v>1</v>
      </c>
      <c r="G68">
        <v>1</v>
      </c>
      <c r="H68">
        <v>3</v>
      </c>
      <c r="I68" t="s">
        <v>312</v>
      </c>
      <c r="J68" t="s">
        <v>313</v>
      </c>
      <c r="K68" t="s">
        <v>314</v>
      </c>
      <c r="L68">
        <v>1346</v>
      </c>
      <c r="N68">
        <v>1009</v>
      </c>
      <c r="O68" t="s">
        <v>315</v>
      </c>
      <c r="P68" t="s">
        <v>315</v>
      </c>
      <c r="Q68">
        <v>1</v>
      </c>
      <c r="W68">
        <v>0</v>
      </c>
      <c r="X68">
        <v>1525406613</v>
      </c>
      <c r="Y68">
        <v>0.36</v>
      </c>
      <c r="AA68">
        <v>35</v>
      </c>
      <c r="AB68">
        <v>0</v>
      </c>
      <c r="AC68">
        <v>0</v>
      </c>
      <c r="AD68">
        <v>0</v>
      </c>
      <c r="AE68">
        <v>35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1</v>
      </c>
      <c r="AQ68">
        <v>1</v>
      </c>
      <c r="AR68">
        <v>0</v>
      </c>
      <c r="AT68">
        <v>0.36</v>
      </c>
      <c r="AV68">
        <v>0</v>
      </c>
      <c r="AW68">
        <v>2</v>
      </c>
      <c r="AX68">
        <v>27243294</v>
      </c>
      <c r="AY68">
        <v>2</v>
      </c>
      <c r="AZ68">
        <v>16384</v>
      </c>
      <c r="BA68">
        <v>86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12.6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12.6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1</v>
      </c>
      <c r="CX68">
        <f>Y68*Source!I31</f>
        <v>0.5184</v>
      </c>
      <c r="CY68">
        <f t="shared" si="9"/>
        <v>35</v>
      </c>
      <c r="CZ68">
        <f t="shared" si="10"/>
        <v>35</v>
      </c>
      <c r="DA68">
        <f t="shared" si="11"/>
        <v>1</v>
      </c>
      <c r="DB68">
        <v>0</v>
      </c>
    </row>
    <row r="69" spans="1:106" ht="12.75">
      <c r="A69">
        <f>ROW(Source!A31)</f>
        <v>31</v>
      </c>
      <c r="B69">
        <v>27243028</v>
      </c>
      <c r="C69">
        <v>27243260</v>
      </c>
      <c r="D69">
        <v>24316115</v>
      </c>
      <c r="E69">
        <v>1</v>
      </c>
      <c r="F69">
        <v>1</v>
      </c>
      <c r="G69">
        <v>1</v>
      </c>
      <c r="H69">
        <v>3</v>
      </c>
      <c r="I69" t="s">
        <v>316</v>
      </c>
      <c r="J69" t="s">
        <v>317</v>
      </c>
      <c r="K69" t="s">
        <v>318</v>
      </c>
      <c r="L69">
        <v>1348</v>
      </c>
      <c r="N69">
        <v>1009</v>
      </c>
      <c r="O69" t="s">
        <v>100</v>
      </c>
      <c r="P69" t="s">
        <v>100</v>
      </c>
      <c r="Q69">
        <v>1000</v>
      </c>
      <c r="W69">
        <v>0</v>
      </c>
      <c r="X69">
        <v>293395486</v>
      </c>
      <c r="Y69">
        <v>0.0006</v>
      </c>
      <c r="AA69">
        <v>132200</v>
      </c>
      <c r="AB69">
        <v>0</v>
      </c>
      <c r="AC69">
        <v>0</v>
      </c>
      <c r="AD69">
        <v>0</v>
      </c>
      <c r="AE69">
        <v>132200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1</v>
      </c>
      <c r="AQ69">
        <v>1</v>
      </c>
      <c r="AR69">
        <v>0</v>
      </c>
      <c r="AT69">
        <v>0.0006</v>
      </c>
      <c r="AV69">
        <v>0</v>
      </c>
      <c r="AW69">
        <v>2</v>
      </c>
      <c r="AX69">
        <v>27243295</v>
      </c>
      <c r="AY69">
        <v>2</v>
      </c>
      <c r="AZ69">
        <v>16384</v>
      </c>
      <c r="BA69">
        <v>87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79.32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79.32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CX69">
        <f>Y69*Source!I31</f>
        <v>0.0008639999999999999</v>
      </c>
      <c r="CY69">
        <f t="shared" si="9"/>
        <v>132200</v>
      </c>
      <c r="CZ69">
        <f t="shared" si="10"/>
        <v>132200</v>
      </c>
      <c r="DA69">
        <f t="shared" si="11"/>
        <v>1</v>
      </c>
      <c r="DB69">
        <v>0</v>
      </c>
    </row>
    <row r="70" spans="1:106" ht="12.75">
      <c r="A70">
        <f>ROW(Source!A31)</f>
        <v>31</v>
      </c>
      <c r="B70">
        <v>27243028</v>
      </c>
      <c r="C70">
        <v>27243260</v>
      </c>
      <c r="D70">
        <v>24297140</v>
      </c>
      <c r="E70">
        <v>1</v>
      </c>
      <c r="F70">
        <v>1</v>
      </c>
      <c r="G70">
        <v>1</v>
      </c>
      <c r="H70">
        <v>3</v>
      </c>
      <c r="I70" t="s">
        <v>323</v>
      </c>
      <c r="J70" t="s">
        <v>324</v>
      </c>
      <c r="K70" t="s">
        <v>325</v>
      </c>
      <c r="L70">
        <v>1339</v>
      </c>
      <c r="N70">
        <v>1007</v>
      </c>
      <c r="O70" t="s">
        <v>302</v>
      </c>
      <c r="P70" t="s">
        <v>302</v>
      </c>
      <c r="Q70">
        <v>1</v>
      </c>
      <c r="W70">
        <v>0</v>
      </c>
      <c r="X70">
        <v>-2017141488</v>
      </c>
      <c r="Y70">
        <v>0.00103</v>
      </c>
      <c r="AA70">
        <v>5762.71</v>
      </c>
      <c r="AB70">
        <v>0</v>
      </c>
      <c r="AC70">
        <v>0</v>
      </c>
      <c r="AD70">
        <v>0</v>
      </c>
      <c r="AE70">
        <v>5762.71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1</v>
      </c>
      <c r="AQ70">
        <v>1</v>
      </c>
      <c r="AR70">
        <v>0</v>
      </c>
      <c r="AT70">
        <v>0.00103</v>
      </c>
      <c r="AV70">
        <v>0</v>
      </c>
      <c r="AW70">
        <v>2</v>
      </c>
      <c r="AX70">
        <v>27243296</v>
      </c>
      <c r="AY70">
        <v>2</v>
      </c>
      <c r="AZ70">
        <v>16384</v>
      </c>
      <c r="BA70">
        <v>88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5.9355913000000005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1</v>
      </c>
      <c r="BQ70">
        <v>5.9355913000000005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CX70">
        <f>Y70*Source!I31</f>
        <v>0.0014832</v>
      </c>
      <c r="CY70">
        <f t="shared" si="9"/>
        <v>5762.71</v>
      </c>
      <c r="CZ70">
        <f t="shared" si="10"/>
        <v>5762.71</v>
      </c>
      <c r="DA70">
        <f t="shared" si="11"/>
        <v>1</v>
      </c>
      <c r="DB70">
        <v>0</v>
      </c>
    </row>
    <row r="71" spans="1:106" ht="12.75">
      <c r="A71">
        <f>ROW(Source!A31)</f>
        <v>31</v>
      </c>
      <c r="B71">
        <v>27243028</v>
      </c>
      <c r="C71">
        <v>27243260</v>
      </c>
      <c r="D71">
        <v>24315188</v>
      </c>
      <c r="E71">
        <v>1</v>
      </c>
      <c r="F71">
        <v>1</v>
      </c>
      <c r="G71">
        <v>1</v>
      </c>
      <c r="H71">
        <v>3</v>
      </c>
      <c r="I71" t="s">
        <v>326</v>
      </c>
      <c r="J71" t="s">
        <v>327</v>
      </c>
      <c r="K71" t="s">
        <v>328</v>
      </c>
      <c r="L71">
        <v>1348</v>
      </c>
      <c r="N71">
        <v>1009</v>
      </c>
      <c r="O71" t="s">
        <v>100</v>
      </c>
      <c r="P71" t="s">
        <v>100</v>
      </c>
      <c r="Q71">
        <v>1000</v>
      </c>
      <c r="W71">
        <v>0</v>
      </c>
      <c r="X71">
        <v>-1426249434</v>
      </c>
      <c r="Y71">
        <v>0.00031</v>
      </c>
      <c r="AA71">
        <v>67779.66</v>
      </c>
      <c r="AB71">
        <v>0</v>
      </c>
      <c r="AC71">
        <v>0</v>
      </c>
      <c r="AD71">
        <v>0</v>
      </c>
      <c r="AE71">
        <v>67779.66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1</v>
      </c>
      <c r="AQ71">
        <v>1</v>
      </c>
      <c r="AR71">
        <v>0</v>
      </c>
      <c r="AT71">
        <v>0.00031</v>
      </c>
      <c r="AV71">
        <v>0</v>
      </c>
      <c r="AW71">
        <v>2</v>
      </c>
      <c r="AX71">
        <v>27243297</v>
      </c>
      <c r="AY71">
        <v>2</v>
      </c>
      <c r="AZ71">
        <v>16384</v>
      </c>
      <c r="BA71">
        <v>89</v>
      </c>
      <c r="BB71">
        <v>1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21.011694600000002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21.011694600000002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1</v>
      </c>
      <c r="CX71">
        <f>Y71*Source!I31</f>
        <v>0.0004464</v>
      </c>
      <c r="CY71">
        <f t="shared" si="9"/>
        <v>67779.66</v>
      </c>
      <c r="CZ71">
        <f t="shared" si="10"/>
        <v>67779.66</v>
      </c>
      <c r="DA71">
        <f t="shared" si="11"/>
        <v>1</v>
      </c>
      <c r="DB71">
        <v>0</v>
      </c>
    </row>
    <row r="72" spans="1:106" ht="12.75">
      <c r="A72">
        <f>ROW(Source!A31)</f>
        <v>31</v>
      </c>
      <c r="B72">
        <v>27243028</v>
      </c>
      <c r="C72">
        <v>27243260</v>
      </c>
      <c r="D72">
        <v>24296640</v>
      </c>
      <c r="E72">
        <v>1</v>
      </c>
      <c r="F72">
        <v>1</v>
      </c>
      <c r="G72">
        <v>1</v>
      </c>
      <c r="H72">
        <v>3</v>
      </c>
      <c r="I72" t="s">
        <v>361</v>
      </c>
      <c r="J72" t="s">
        <v>362</v>
      </c>
      <c r="K72" t="s">
        <v>363</v>
      </c>
      <c r="L72">
        <v>1348</v>
      </c>
      <c r="N72">
        <v>1009</v>
      </c>
      <c r="O72" t="s">
        <v>100</v>
      </c>
      <c r="P72" t="s">
        <v>100</v>
      </c>
      <c r="Q72">
        <v>1000</v>
      </c>
      <c r="W72">
        <v>0</v>
      </c>
      <c r="X72">
        <v>-1748247338</v>
      </c>
      <c r="Y72">
        <v>1</v>
      </c>
      <c r="AA72">
        <v>31779.66</v>
      </c>
      <c r="AB72">
        <v>0</v>
      </c>
      <c r="AC72">
        <v>0</v>
      </c>
      <c r="AD72">
        <v>0</v>
      </c>
      <c r="AE72">
        <v>31779.66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1</v>
      </c>
      <c r="AQ72">
        <v>1</v>
      </c>
      <c r="AR72">
        <v>0</v>
      </c>
      <c r="AT72">
        <v>1</v>
      </c>
      <c r="AV72">
        <v>0</v>
      </c>
      <c r="AW72">
        <v>2</v>
      </c>
      <c r="AX72">
        <v>27243299</v>
      </c>
      <c r="AY72">
        <v>2</v>
      </c>
      <c r="AZ72">
        <v>16384</v>
      </c>
      <c r="BA72">
        <v>91</v>
      </c>
      <c r="BB72">
        <v>1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31779.66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31779.66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1</v>
      </c>
      <c r="CX72">
        <f>Y72*Source!I31</f>
        <v>1.44</v>
      </c>
      <c r="CY72">
        <f t="shared" si="9"/>
        <v>31779.66</v>
      </c>
      <c r="CZ72">
        <f t="shared" si="10"/>
        <v>31779.66</v>
      </c>
      <c r="DA72">
        <f t="shared" si="11"/>
        <v>1</v>
      </c>
      <c r="DB72">
        <v>0</v>
      </c>
    </row>
    <row r="73" spans="1:106" ht="12.75">
      <c r="A73">
        <f>ROW(Source!A32)</f>
        <v>32</v>
      </c>
      <c r="B73">
        <v>27243028</v>
      </c>
      <c r="C73">
        <v>27243301</v>
      </c>
      <c r="D73">
        <v>20812201</v>
      </c>
      <c r="E73">
        <v>1</v>
      </c>
      <c r="F73">
        <v>1</v>
      </c>
      <c r="G73">
        <v>1</v>
      </c>
      <c r="H73">
        <v>1</v>
      </c>
      <c r="I73" t="s">
        <v>364</v>
      </c>
      <c r="K73" t="s">
        <v>365</v>
      </c>
      <c r="L73">
        <v>1369</v>
      </c>
      <c r="N73">
        <v>1013</v>
      </c>
      <c r="O73" t="s">
        <v>258</v>
      </c>
      <c r="P73" t="s">
        <v>258</v>
      </c>
      <c r="Q73">
        <v>1</v>
      </c>
      <c r="W73">
        <v>0</v>
      </c>
      <c r="X73">
        <v>569290204</v>
      </c>
      <c r="Y73">
        <v>164.45</v>
      </c>
      <c r="AA73">
        <v>0</v>
      </c>
      <c r="AB73">
        <v>0</v>
      </c>
      <c r="AC73">
        <v>0</v>
      </c>
      <c r="AD73">
        <v>125.72</v>
      </c>
      <c r="AE73">
        <v>0</v>
      </c>
      <c r="AF73">
        <v>0</v>
      </c>
      <c r="AG73">
        <v>0</v>
      </c>
      <c r="AH73">
        <v>125.72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1</v>
      </c>
      <c r="AR73">
        <v>0</v>
      </c>
      <c r="AT73">
        <v>143</v>
      </c>
      <c r="AU73" t="s">
        <v>39</v>
      </c>
      <c r="AV73">
        <v>1</v>
      </c>
      <c r="AW73">
        <v>2</v>
      </c>
      <c r="AX73">
        <v>27243309</v>
      </c>
      <c r="AY73">
        <v>2</v>
      </c>
      <c r="AZ73">
        <v>131072</v>
      </c>
      <c r="BA73">
        <v>93</v>
      </c>
      <c r="BB73">
        <v>1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17977.96</v>
      </c>
      <c r="BN73">
        <v>143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20674.654</v>
      </c>
      <c r="BU73">
        <v>164.45</v>
      </c>
      <c r="BV73">
        <v>0</v>
      </c>
      <c r="BW73">
        <v>1</v>
      </c>
      <c r="CX73">
        <f>Y73*Source!I32</f>
        <v>237.46579999999997</v>
      </c>
      <c r="CY73">
        <f>AD73</f>
        <v>125.72</v>
      </c>
      <c r="CZ73">
        <f>AH73</f>
        <v>125.72</v>
      </c>
      <c r="DA73">
        <f>AL73</f>
        <v>1</v>
      </c>
      <c r="DB73">
        <v>0</v>
      </c>
    </row>
    <row r="74" spans="1:106" ht="12.75">
      <c r="A74">
        <f>ROW(Source!A32)</f>
        <v>32</v>
      </c>
      <c r="B74">
        <v>27243028</v>
      </c>
      <c r="C74">
        <v>27243301</v>
      </c>
      <c r="D74">
        <v>20804248</v>
      </c>
      <c r="E74">
        <v>1</v>
      </c>
      <c r="F74">
        <v>1</v>
      </c>
      <c r="G74">
        <v>1</v>
      </c>
      <c r="H74">
        <v>2</v>
      </c>
      <c r="I74" t="s">
        <v>366</v>
      </c>
      <c r="J74" t="s">
        <v>367</v>
      </c>
      <c r="K74" t="s">
        <v>368</v>
      </c>
      <c r="L74">
        <v>1368</v>
      </c>
      <c r="N74">
        <v>1011</v>
      </c>
      <c r="O74" t="s">
        <v>262</v>
      </c>
      <c r="P74" t="s">
        <v>262</v>
      </c>
      <c r="Q74">
        <v>1</v>
      </c>
      <c r="W74">
        <v>0</v>
      </c>
      <c r="X74">
        <v>-803576573</v>
      </c>
      <c r="Y74">
        <v>1.7874999999999999</v>
      </c>
      <c r="AA74">
        <v>0</v>
      </c>
      <c r="AB74">
        <v>6.4</v>
      </c>
      <c r="AC74">
        <v>0</v>
      </c>
      <c r="AD74">
        <v>0</v>
      </c>
      <c r="AE74">
        <v>0</v>
      </c>
      <c r="AF74">
        <v>6.4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1</v>
      </c>
      <c r="AR74">
        <v>0</v>
      </c>
      <c r="AT74">
        <v>1.43</v>
      </c>
      <c r="AU74" t="s">
        <v>38</v>
      </c>
      <c r="AV74">
        <v>0</v>
      </c>
      <c r="AW74">
        <v>2</v>
      </c>
      <c r="AX74">
        <v>27243310</v>
      </c>
      <c r="AY74">
        <v>2</v>
      </c>
      <c r="AZ74">
        <v>32768</v>
      </c>
      <c r="BA74">
        <v>94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9.152</v>
      </c>
      <c r="BL74">
        <v>0</v>
      </c>
      <c r="BM74">
        <v>0</v>
      </c>
      <c r="BN74">
        <v>0</v>
      </c>
      <c r="BO74">
        <v>0</v>
      </c>
      <c r="BP74">
        <v>1</v>
      </c>
      <c r="BQ74">
        <v>0</v>
      </c>
      <c r="BR74">
        <v>11.44</v>
      </c>
      <c r="BS74">
        <v>0</v>
      </c>
      <c r="BT74">
        <v>0</v>
      </c>
      <c r="BU74">
        <v>0</v>
      </c>
      <c r="BV74">
        <v>0</v>
      </c>
      <c r="BW74">
        <v>1</v>
      </c>
      <c r="CX74">
        <f>Y74*Source!I32</f>
        <v>2.5811499999999996</v>
      </c>
      <c r="CY74">
        <f>AB74</f>
        <v>6.4</v>
      </c>
      <c r="CZ74">
        <f>AF74</f>
        <v>6.4</v>
      </c>
      <c r="DA74">
        <f>AJ74</f>
        <v>1</v>
      </c>
      <c r="DB74">
        <v>0</v>
      </c>
    </row>
    <row r="75" spans="1:106" ht="12.75">
      <c r="A75">
        <f>ROW(Source!A32)</f>
        <v>32</v>
      </c>
      <c r="B75">
        <v>27243028</v>
      </c>
      <c r="C75">
        <v>27243301</v>
      </c>
      <c r="D75">
        <v>0</v>
      </c>
      <c r="E75">
        <v>0</v>
      </c>
      <c r="F75">
        <v>1</v>
      </c>
      <c r="G75">
        <v>1</v>
      </c>
      <c r="H75">
        <v>2</v>
      </c>
      <c r="I75" t="s">
        <v>271</v>
      </c>
      <c r="K75" t="s">
        <v>273</v>
      </c>
      <c r="L75">
        <v>1367</v>
      </c>
      <c r="N75">
        <v>1011</v>
      </c>
      <c r="O75" t="s">
        <v>369</v>
      </c>
      <c r="P75" t="s">
        <v>369</v>
      </c>
      <c r="Q75">
        <v>1</v>
      </c>
      <c r="W75">
        <v>0</v>
      </c>
      <c r="X75">
        <v>-855606463</v>
      </c>
      <c r="Y75">
        <v>1.125</v>
      </c>
      <c r="AA75">
        <v>0</v>
      </c>
      <c r="AB75">
        <v>698.33</v>
      </c>
      <c r="AC75">
        <v>0</v>
      </c>
      <c r="AD75">
        <v>0</v>
      </c>
      <c r="AE75">
        <v>0</v>
      </c>
      <c r="AF75">
        <v>698.33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2</v>
      </c>
      <c r="AQ75">
        <v>1</v>
      </c>
      <c r="AR75">
        <v>0</v>
      </c>
      <c r="AT75">
        <v>0.9</v>
      </c>
      <c r="AU75" t="s">
        <v>38</v>
      </c>
      <c r="AV75">
        <v>0</v>
      </c>
      <c r="AW75">
        <v>2</v>
      </c>
      <c r="AX75">
        <v>27243311</v>
      </c>
      <c r="AY75">
        <v>2</v>
      </c>
      <c r="AZ75">
        <v>98304</v>
      </c>
      <c r="BA75">
        <v>95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628.4970000000001</v>
      </c>
      <c r="BL75">
        <v>0</v>
      </c>
      <c r="BM75">
        <v>0</v>
      </c>
      <c r="BN75">
        <v>0</v>
      </c>
      <c r="BO75">
        <v>0</v>
      </c>
      <c r="BP75">
        <v>1</v>
      </c>
      <c r="BQ75">
        <v>0</v>
      </c>
      <c r="BR75">
        <v>785.62125</v>
      </c>
      <c r="BS75">
        <v>0</v>
      </c>
      <c r="BT75">
        <v>0</v>
      </c>
      <c r="BU75">
        <v>0</v>
      </c>
      <c r="BV75">
        <v>0</v>
      </c>
      <c r="BW75">
        <v>1</v>
      </c>
      <c r="CX75">
        <f>Y75*Source!I32</f>
        <v>1.6244999999999998</v>
      </c>
      <c r="CY75">
        <f>AB75</f>
        <v>698.33</v>
      </c>
      <c r="CZ75">
        <f>AF75</f>
        <v>698.33</v>
      </c>
      <c r="DA75">
        <f>AJ75</f>
        <v>1</v>
      </c>
      <c r="DB75">
        <v>0</v>
      </c>
    </row>
    <row r="76" spans="1:106" ht="12.75">
      <c r="A76">
        <f>ROW(Source!A32)</f>
        <v>32</v>
      </c>
      <c r="B76">
        <v>27243028</v>
      </c>
      <c r="C76">
        <v>27243301</v>
      </c>
      <c r="D76">
        <v>20753521</v>
      </c>
      <c r="E76">
        <v>1</v>
      </c>
      <c r="F76">
        <v>1</v>
      </c>
      <c r="G76">
        <v>1</v>
      </c>
      <c r="H76">
        <v>3</v>
      </c>
      <c r="I76" t="s">
        <v>358</v>
      </c>
      <c r="J76" t="s">
        <v>370</v>
      </c>
      <c r="K76" t="s">
        <v>360</v>
      </c>
      <c r="L76">
        <v>1348</v>
      </c>
      <c r="N76">
        <v>1009</v>
      </c>
      <c r="O76" t="s">
        <v>100</v>
      </c>
      <c r="P76" t="s">
        <v>100</v>
      </c>
      <c r="Q76">
        <v>1000</v>
      </c>
      <c r="W76">
        <v>0</v>
      </c>
      <c r="X76">
        <v>175036287</v>
      </c>
      <c r="Y76">
        <v>0.0036</v>
      </c>
      <c r="AA76">
        <v>65000</v>
      </c>
      <c r="AB76">
        <v>0</v>
      </c>
      <c r="AC76">
        <v>0</v>
      </c>
      <c r="AD76">
        <v>0</v>
      </c>
      <c r="AE76">
        <v>65000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1</v>
      </c>
      <c r="AR76">
        <v>0</v>
      </c>
      <c r="AT76">
        <v>0.0036</v>
      </c>
      <c r="AV76">
        <v>0</v>
      </c>
      <c r="AW76">
        <v>2</v>
      </c>
      <c r="AX76">
        <v>27243312</v>
      </c>
      <c r="AY76">
        <v>2</v>
      </c>
      <c r="AZ76">
        <v>16384</v>
      </c>
      <c r="BA76">
        <v>96</v>
      </c>
      <c r="BB76">
        <v>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234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1</v>
      </c>
      <c r="BQ76">
        <v>234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1</v>
      </c>
      <c r="CX76">
        <f>Y76*Source!I32</f>
        <v>0.0051984</v>
      </c>
      <c r="CY76">
        <f>AA76</f>
        <v>65000</v>
      </c>
      <c r="CZ76">
        <f>AE76</f>
        <v>65000</v>
      </c>
      <c r="DA76">
        <f>AI76</f>
        <v>1</v>
      </c>
      <c r="DB76">
        <v>0</v>
      </c>
    </row>
    <row r="77" spans="1:106" ht="12.75">
      <c r="A77">
        <f>ROW(Source!A32)</f>
        <v>32</v>
      </c>
      <c r="B77">
        <v>27243028</v>
      </c>
      <c r="C77">
        <v>27243301</v>
      </c>
      <c r="D77">
        <v>20756264</v>
      </c>
      <c r="E77">
        <v>1</v>
      </c>
      <c r="F77">
        <v>1</v>
      </c>
      <c r="G77">
        <v>1</v>
      </c>
      <c r="H77">
        <v>3</v>
      </c>
      <c r="I77" t="s">
        <v>371</v>
      </c>
      <c r="J77" t="s">
        <v>372</v>
      </c>
      <c r="K77" t="s">
        <v>373</v>
      </c>
      <c r="L77">
        <v>1339</v>
      </c>
      <c r="N77">
        <v>1007</v>
      </c>
      <c r="O77" t="s">
        <v>302</v>
      </c>
      <c r="P77" t="s">
        <v>302</v>
      </c>
      <c r="Q77">
        <v>1</v>
      </c>
      <c r="W77">
        <v>0</v>
      </c>
      <c r="X77">
        <v>-48035653</v>
      </c>
      <c r="Y77">
        <v>1.5</v>
      </c>
      <c r="AA77">
        <v>5762.71</v>
      </c>
      <c r="AB77">
        <v>0</v>
      </c>
      <c r="AC77">
        <v>0</v>
      </c>
      <c r="AD77">
        <v>0</v>
      </c>
      <c r="AE77">
        <v>5762.71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1</v>
      </c>
      <c r="AR77">
        <v>0</v>
      </c>
      <c r="AT77">
        <v>1.5</v>
      </c>
      <c r="AV77">
        <v>0</v>
      </c>
      <c r="AW77">
        <v>2</v>
      </c>
      <c r="AX77">
        <v>27243313</v>
      </c>
      <c r="AY77">
        <v>2</v>
      </c>
      <c r="AZ77">
        <v>22528</v>
      </c>
      <c r="BA77">
        <v>97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8644.065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1</v>
      </c>
      <c r="BQ77">
        <v>8644.065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1</v>
      </c>
      <c r="CX77">
        <f>Y77*Source!I32</f>
        <v>2.166</v>
      </c>
      <c r="CY77">
        <f>AA77</f>
        <v>5762.71</v>
      </c>
      <c r="CZ77">
        <f>AE77</f>
        <v>5762.71</v>
      </c>
      <c r="DA77">
        <f>AI77</f>
        <v>1</v>
      </c>
      <c r="DB77">
        <v>0</v>
      </c>
    </row>
    <row r="78" spans="1:106" ht="12.75">
      <c r="A78">
        <f>ROW(Source!A32)</f>
        <v>32</v>
      </c>
      <c r="B78">
        <v>27243028</v>
      </c>
      <c r="C78">
        <v>27243301</v>
      </c>
      <c r="D78">
        <v>20756276</v>
      </c>
      <c r="E78">
        <v>1</v>
      </c>
      <c r="F78">
        <v>1</v>
      </c>
      <c r="G78">
        <v>1</v>
      </c>
      <c r="H78">
        <v>3</v>
      </c>
      <c r="I78" t="s">
        <v>374</v>
      </c>
      <c r="J78" t="s">
        <v>375</v>
      </c>
      <c r="K78" t="s">
        <v>376</v>
      </c>
      <c r="L78">
        <v>1327</v>
      </c>
      <c r="N78">
        <v>1005</v>
      </c>
      <c r="O78" t="s">
        <v>322</v>
      </c>
      <c r="P78" t="s">
        <v>322</v>
      </c>
      <c r="Q78">
        <v>1</v>
      </c>
      <c r="W78">
        <v>0</v>
      </c>
      <c r="X78">
        <v>-530353638</v>
      </c>
      <c r="Y78">
        <v>106</v>
      </c>
      <c r="AA78">
        <v>203.39</v>
      </c>
      <c r="AB78">
        <v>0</v>
      </c>
      <c r="AC78">
        <v>0</v>
      </c>
      <c r="AD78">
        <v>0</v>
      </c>
      <c r="AE78">
        <v>203.39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1</v>
      </c>
      <c r="AR78">
        <v>0</v>
      </c>
      <c r="AT78">
        <v>106</v>
      </c>
      <c r="AV78">
        <v>0</v>
      </c>
      <c r="AW78">
        <v>2</v>
      </c>
      <c r="AX78">
        <v>27243314</v>
      </c>
      <c r="AY78">
        <v>2</v>
      </c>
      <c r="AZ78">
        <v>22528</v>
      </c>
      <c r="BA78">
        <v>98</v>
      </c>
      <c r="BB78">
        <v>1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21559.34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1</v>
      </c>
      <c r="BQ78">
        <v>21559.34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1</v>
      </c>
      <c r="CX78">
        <f>Y78*Source!I32</f>
        <v>153.064</v>
      </c>
      <c r="CY78">
        <f>AA78</f>
        <v>203.39</v>
      </c>
      <c r="CZ78">
        <f>AE78</f>
        <v>203.39</v>
      </c>
      <c r="DA78">
        <f>AI78</f>
        <v>1</v>
      </c>
      <c r="DB78">
        <v>0</v>
      </c>
    </row>
    <row r="79" spans="1:106" ht="12.75">
      <c r="A79">
        <f>ROW(Source!A32)</f>
        <v>32</v>
      </c>
      <c r="B79">
        <v>27243028</v>
      </c>
      <c r="C79">
        <v>27243301</v>
      </c>
      <c r="D79">
        <v>20765701</v>
      </c>
      <c r="E79">
        <v>1</v>
      </c>
      <c r="F79">
        <v>1</v>
      </c>
      <c r="G79">
        <v>1</v>
      </c>
      <c r="H79">
        <v>3</v>
      </c>
      <c r="I79" t="s">
        <v>377</v>
      </c>
      <c r="J79" t="s">
        <v>378</v>
      </c>
      <c r="K79" t="s">
        <v>379</v>
      </c>
      <c r="L79">
        <v>1354</v>
      </c>
      <c r="N79">
        <v>1010</v>
      </c>
      <c r="O79" t="s">
        <v>380</v>
      </c>
      <c r="P79" t="s">
        <v>380</v>
      </c>
      <c r="Q79">
        <v>1</v>
      </c>
      <c r="W79">
        <v>0</v>
      </c>
      <c r="X79">
        <v>-212290792</v>
      </c>
      <c r="Y79">
        <v>100</v>
      </c>
      <c r="AA79">
        <v>12</v>
      </c>
      <c r="AB79">
        <v>0</v>
      </c>
      <c r="AC79">
        <v>0</v>
      </c>
      <c r="AD79">
        <v>0</v>
      </c>
      <c r="AE79">
        <v>12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1</v>
      </c>
      <c r="AR79">
        <v>0</v>
      </c>
      <c r="AT79">
        <v>100</v>
      </c>
      <c r="AV79">
        <v>0</v>
      </c>
      <c r="AW79">
        <v>2</v>
      </c>
      <c r="AX79">
        <v>27243315</v>
      </c>
      <c r="AY79">
        <v>2</v>
      </c>
      <c r="AZ79">
        <v>22528</v>
      </c>
      <c r="BA79">
        <v>99</v>
      </c>
      <c r="BB79">
        <v>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1200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1</v>
      </c>
      <c r="BQ79">
        <v>1200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1</v>
      </c>
      <c r="CX79">
        <f>Y79*Source!I32</f>
        <v>144.4</v>
      </c>
      <c r="CY79">
        <f>AA79</f>
        <v>12</v>
      </c>
      <c r="CZ79">
        <f>AE79</f>
        <v>12</v>
      </c>
      <c r="DA79">
        <f>AI79</f>
        <v>1</v>
      </c>
      <c r="DB79">
        <v>0</v>
      </c>
    </row>
    <row r="80" spans="1:106" ht="12.75">
      <c r="A80">
        <f>ROW(Source!A33)</f>
        <v>33</v>
      </c>
      <c r="B80">
        <v>27243028</v>
      </c>
      <c r="C80">
        <v>27243316</v>
      </c>
      <c r="D80">
        <v>20812658</v>
      </c>
      <c r="E80">
        <v>1</v>
      </c>
      <c r="F80">
        <v>1</v>
      </c>
      <c r="G80">
        <v>1</v>
      </c>
      <c r="H80">
        <v>1</v>
      </c>
      <c r="I80" t="s">
        <v>381</v>
      </c>
      <c r="K80" t="s">
        <v>330</v>
      </c>
      <c r="L80">
        <v>1369</v>
      </c>
      <c r="N80">
        <v>1013</v>
      </c>
      <c r="O80" t="s">
        <v>258</v>
      </c>
      <c r="P80" t="s">
        <v>258</v>
      </c>
      <c r="Q80">
        <v>1</v>
      </c>
      <c r="W80">
        <v>0</v>
      </c>
      <c r="X80">
        <v>-1376538585</v>
      </c>
      <c r="Y80">
        <v>70.83999999999999</v>
      </c>
      <c r="AA80">
        <v>0</v>
      </c>
      <c r="AB80">
        <v>0</v>
      </c>
      <c r="AC80">
        <v>0</v>
      </c>
      <c r="AD80">
        <v>132.29</v>
      </c>
      <c r="AE80">
        <v>0</v>
      </c>
      <c r="AF80">
        <v>0</v>
      </c>
      <c r="AG80">
        <v>0</v>
      </c>
      <c r="AH80">
        <v>132.29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1</v>
      </c>
      <c r="AR80">
        <v>0</v>
      </c>
      <c r="AT80">
        <v>61.6</v>
      </c>
      <c r="AU80" t="s">
        <v>39</v>
      </c>
      <c r="AV80">
        <v>1</v>
      </c>
      <c r="AW80">
        <v>2</v>
      </c>
      <c r="AX80">
        <v>27243339</v>
      </c>
      <c r="AY80">
        <v>2</v>
      </c>
      <c r="AZ80">
        <v>131072</v>
      </c>
      <c r="BA80">
        <v>100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8149.063999999999</v>
      </c>
      <c r="BN80">
        <v>61.6</v>
      </c>
      <c r="BO80">
        <v>0</v>
      </c>
      <c r="BP80">
        <v>1</v>
      </c>
      <c r="BQ80">
        <v>0</v>
      </c>
      <c r="BR80">
        <v>0</v>
      </c>
      <c r="BS80">
        <v>0</v>
      </c>
      <c r="BT80">
        <v>9371.423599999998</v>
      </c>
      <c r="BU80">
        <v>70.83999999999999</v>
      </c>
      <c r="BV80">
        <v>0</v>
      </c>
      <c r="BW80">
        <v>1</v>
      </c>
      <c r="CX80">
        <f>Y80*Source!I33</f>
        <v>476.75319999999994</v>
      </c>
      <c r="CY80">
        <f>AD80</f>
        <v>132.29</v>
      </c>
      <c r="CZ80">
        <f>AH80</f>
        <v>132.29</v>
      </c>
      <c r="DA80">
        <f>AL80</f>
        <v>1</v>
      </c>
      <c r="DB80">
        <v>0</v>
      </c>
    </row>
    <row r="81" spans="1:106" ht="12.75">
      <c r="A81">
        <f>ROW(Source!A33)</f>
        <v>33</v>
      </c>
      <c r="B81">
        <v>27243028</v>
      </c>
      <c r="C81">
        <v>27243316</v>
      </c>
      <c r="D81">
        <v>121548</v>
      </c>
      <c r="E81">
        <v>1</v>
      </c>
      <c r="F81">
        <v>1</v>
      </c>
      <c r="G81">
        <v>1</v>
      </c>
      <c r="H81">
        <v>1</v>
      </c>
      <c r="I81" t="s">
        <v>23</v>
      </c>
      <c r="K81" t="s">
        <v>276</v>
      </c>
      <c r="L81">
        <v>608254</v>
      </c>
      <c r="N81">
        <v>1013</v>
      </c>
      <c r="O81" t="s">
        <v>277</v>
      </c>
      <c r="P81" t="s">
        <v>277</v>
      </c>
      <c r="Q81">
        <v>1</v>
      </c>
      <c r="W81">
        <v>0</v>
      </c>
      <c r="X81">
        <v>-185737400</v>
      </c>
      <c r="Y81">
        <v>0.125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1</v>
      </c>
      <c r="AQ81">
        <v>1</v>
      </c>
      <c r="AR81">
        <v>0</v>
      </c>
      <c r="AT81">
        <v>0.1</v>
      </c>
      <c r="AU81" t="s">
        <v>38</v>
      </c>
      <c r="AV81">
        <v>2</v>
      </c>
      <c r="AW81">
        <v>2</v>
      </c>
      <c r="AX81">
        <v>27243340</v>
      </c>
      <c r="AY81">
        <v>1</v>
      </c>
      <c r="AZ81">
        <v>0</v>
      </c>
      <c r="BA81">
        <v>101</v>
      </c>
      <c r="BB81">
        <v>1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0.1</v>
      </c>
      <c r="BP81">
        <v>1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0.125</v>
      </c>
      <c r="BW81">
        <v>1</v>
      </c>
      <c r="CX81">
        <f>Y81*Source!I33</f>
        <v>0.84125</v>
      </c>
      <c r="CY81">
        <f>AD81</f>
        <v>0</v>
      </c>
      <c r="CZ81">
        <f>AH81</f>
        <v>0</v>
      </c>
      <c r="DA81">
        <f>AL81</f>
        <v>1</v>
      </c>
      <c r="DB81">
        <v>0</v>
      </c>
    </row>
    <row r="82" spans="1:106" ht="12.75">
      <c r="A82">
        <f>ROW(Source!A33)</f>
        <v>33</v>
      </c>
      <c r="B82">
        <v>27243028</v>
      </c>
      <c r="C82">
        <v>27243316</v>
      </c>
      <c r="D82">
        <v>20802610</v>
      </c>
      <c r="E82">
        <v>1</v>
      </c>
      <c r="F82">
        <v>1</v>
      </c>
      <c r="G82">
        <v>1</v>
      </c>
      <c r="H82">
        <v>2</v>
      </c>
      <c r="I82" t="s">
        <v>336</v>
      </c>
      <c r="J82" t="s">
        <v>382</v>
      </c>
      <c r="K82" t="s">
        <v>338</v>
      </c>
      <c r="L82">
        <v>1368</v>
      </c>
      <c r="N82">
        <v>1011</v>
      </c>
      <c r="O82" t="s">
        <v>262</v>
      </c>
      <c r="P82" t="s">
        <v>262</v>
      </c>
      <c r="Q82">
        <v>1</v>
      </c>
      <c r="W82">
        <v>0</v>
      </c>
      <c r="X82">
        <v>1153092599</v>
      </c>
      <c r="Y82">
        <v>0.08750000000000001</v>
      </c>
      <c r="AA82">
        <v>0</v>
      </c>
      <c r="AB82">
        <v>849.15</v>
      </c>
      <c r="AC82">
        <v>0</v>
      </c>
      <c r="AD82">
        <v>0</v>
      </c>
      <c r="AE82">
        <v>0</v>
      </c>
      <c r="AF82">
        <v>849.15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1</v>
      </c>
      <c r="AQ82">
        <v>1</v>
      </c>
      <c r="AR82">
        <v>0</v>
      </c>
      <c r="AT82">
        <v>0.07</v>
      </c>
      <c r="AU82" t="s">
        <v>38</v>
      </c>
      <c r="AV82">
        <v>0</v>
      </c>
      <c r="AW82">
        <v>2</v>
      </c>
      <c r="AX82">
        <v>27243341</v>
      </c>
      <c r="AY82">
        <v>2</v>
      </c>
      <c r="AZ82">
        <v>98304</v>
      </c>
      <c r="BA82">
        <v>102</v>
      </c>
      <c r="BB82">
        <v>1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59.44050000000001</v>
      </c>
      <c r="BL82">
        <v>0</v>
      </c>
      <c r="BM82">
        <v>0</v>
      </c>
      <c r="BN82">
        <v>0</v>
      </c>
      <c r="BO82">
        <v>0</v>
      </c>
      <c r="BP82">
        <v>1</v>
      </c>
      <c r="BQ82">
        <v>0</v>
      </c>
      <c r="BR82">
        <v>74.30062500000001</v>
      </c>
      <c r="BS82">
        <v>0</v>
      </c>
      <c r="BT82">
        <v>0</v>
      </c>
      <c r="BU82">
        <v>0</v>
      </c>
      <c r="BV82">
        <v>0</v>
      </c>
      <c r="BW82">
        <v>1</v>
      </c>
      <c r="CX82">
        <f>Y82*Source!I33</f>
        <v>0.5888750000000001</v>
      </c>
      <c r="CY82">
        <f aca="true" t="shared" si="12" ref="CY82:CY89">AB82</f>
        <v>849.15</v>
      </c>
      <c r="CZ82">
        <f aca="true" t="shared" si="13" ref="CZ82:CZ89">AF82</f>
        <v>849.15</v>
      </c>
      <c r="DA82">
        <f aca="true" t="shared" si="14" ref="DA82:DA89">AJ82</f>
        <v>1</v>
      </c>
      <c r="DB82">
        <v>0</v>
      </c>
    </row>
    <row r="83" spans="1:106" ht="12.75">
      <c r="A83">
        <f>ROW(Source!A33)</f>
        <v>33</v>
      </c>
      <c r="B83">
        <v>27243028</v>
      </c>
      <c r="C83">
        <v>27243316</v>
      </c>
      <c r="D83">
        <v>0</v>
      </c>
      <c r="E83">
        <v>0</v>
      </c>
      <c r="F83">
        <v>1</v>
      </c>
      <c r="G83">
        <v>1</v>
      </c>
      <c r="H83">
        <v>2</v>
      </c>
      <c r="I83" t="s">
        <v>281</v>
      </c>
      <c r="K83" t="s">
        <v>383</v>
      </c>
      <c r="L83">
        <v>1367</v>
      </c>
      <c r="N83">
        <v>1011</v>
      </c>
      <c r="O83" t="s">
        <v>369</v>
      </c>
      <c r="P83" t="s">
        <v>369</v>
      </c>
      <c r="Q83">
        <v>1</v>
      </c>
      <c r="W83">
        <v>0</v>
      </c>
      <c r="X83">
        <v>1711972554</v>
      </c>
      <c r="Y83">
        <v>0.0375</v>
      </c>
      <c r="AA83">
        <v>0</v>
      </c>
      <c r="AB83">
        <v>636.03</v>
      </c>
      <c r="AC83">
        <v>0</v>
      </c>
      <c r="AD83">
        <v>0</v>
      </c>
      <c r="AE83">
        <v>0</v>
      </c>
      <c r="AF83">
        <v>636.03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2</v>
      </c>
      <c r="AQ83">
        <v>1</v>
      </c>
      <c r="AR83">
        <v>0</v>
      </c>
      <c r="AT83">
        <v>0.03</v>
      </c>
      <c r="AU83" t="s">
        <v>38</v>
      </c>
      <c r="AV83">
        <v>0</v>
      </c>
      <c r="AW83">
        <v>2</v>
      </c>
      <c r="AX83">
        <v>27243342</v>
      </c>
      <c r="AY83">
        <v>2</v>
      </c>
      <c r="AZ83">
        <v>98304</v>
      </c>
      <c r="BA83">
        <v>103</v>
      </c>
      <c r="BB83">
        <v>1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19.0809</v>
      </c>
      <c r="BL83">
        <v>0</v>
      </c>
      <c r="BM83">
        <v>0</v>
      </c>
      <c r="BN83">
        <v>0</v>
      </c>
      <c r="BO83">
        <v>0</v>
      </c>
      <c r="BP83">
        <v>1</v>
      </c>
      <c r="BQ83">
        <v>0</v>
      </c>
      <c r="BR83">
        <v>23.851125</v>
      </c>
      <c r="BS83">
        <v>0</v>
      </c>
      <c r="BT83">
        <v>0</v>
      </c>
      <c r="BU83">
        <v>0</v>
      </c>
      <c r="BV83">
        <v>0</v>
      </c>
      <c r="BW83">
        <v>1</v>
      </c>
      <c r="CX83">
        <f>Y83*Source!I33</f>
        <v>0.252375</v>
      </c>
      <c r="CY83">
        <f t="shared" si="12"/>
        <v>636.03</v>
      </c>
      <c r="CZ83">
        <f t="shared" si="13"/>
        <v>636.03</v>
      </c>
      <c r="DA83">
        <f t="shared" si="14"/>
        <v>1</v>
      </c>
      <c r="DB83">
        <v>0</v>
      </c>
    </row>
    <row r="84" spans="1:106" ht="12.75">
      <c r="A84">
        <f>ROW(Source!A33)</f>
        <v>33</v>
      </c>
      <c r="B84">
        <v>27243028</v>
      </c>
      <c r="C84">
        <v>27243316</v>
      </c>
      <c r="D84">
        <v>0</v>
      </c>
      <c r="E84">
        <v>0</v>
      </c>
      <c r="F84">
        <v>1</v>
      </c>
      <c r="G84">
        <v>1</v>
      </c>
      <c r="H84">
        <v>2</v>
      </c>
      <c r="I84" t="s">
        <v>384</v>
      </c>
      <c r="K84" t="s">
        <v>385</v>
      </c>
      <c r="L84">
        <v>1367</v>
      </c>
      <c r="N84">
        <v>1011</v>
      </c>
      <c r="O84" t="s">
        <v>369</v>
      </c>
      <c r="P84" t="s">
        <v>369</v>
      </c>
      <c r="Q84">
        <v>1</v>
      </c>
      <c r="W84">
        <v>0</v>
      </c>
      <c r="X84">
        <v>-1925698232</v>
      </c>
      <c r="Y84">
        <v>2</v>
      </c>
      <c r="AA84">
        <v>0</v>
      </c>
      <c r="AB84">
        <v>12.61</v>
      </c>
      <c r="AC84">
        <v>0</v>
      </c>
      <c r="AD84">
        <v>0</v>
      </c>
      <c r="AE84">
        <v>0</v>
      </c>
      <c r="AF84">
        <v>12.61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2</v>
      </c>
      <c r="AQ84">
        <v>1</v>
      </c>
      <c r="AR84">
        <v>0</v>
      </c>
      <c r="AT84">
        <v>1.6</v>
      </c>
      <c r="AU84" t="s">
        <v>38</v>
      </c>
      <c r="AV84">
        <v>0</v>
      </c>
      <c r="AW84">
        <v>2</v>
      </c>
      <c r="AX84">
        <v>27243343</v>
      </c>
      <c r="AY84">
        <v>2</v>
      </c>
      <c r="AZ84">
        <v>32768</v>
      </c>
      <c r="BA84">
        <v>104</v>
      </c>
      <c r="BB84">
        <v>1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20.176000000000002</v>
      </c>
      <c r="BL84">
        <v>0</v>
      </c>
      <c r="BM84">
        <v>0</v>
      </c>
      <c r="BN84">
        <v>0</v>
      </c>
      <c r="BO84">
        <v>0</v>
      </c>
      <c r="BP84">
        <v>1</v>
      </c>
      <c r="BQ84">
        <v>0</v>
      </c>
      <c r="BR84">
        <v>25.22</v>
      </c>
      <c r="BS84">
        <v>0</v>
      </c>
      <c r="BT84">
        <v>0</v>
      </c>
      <c r="BU84">
        <v>0</v>
      </c>
      <c r="BV84">
        <v>0</v>
      </c>
      <c r="BW84">
        <v>1</v>
      </c>
      <c r="CX84">
        <f>Y84*Source!I33</f>
        <v>13.46</v>
      </c>
      <c r="CY84">
        <f t="shared" si="12"/>
        <v>12.61</v>
      </c>
      <c r="CZ84">
        <f t="shared" si="13"/>
        <v>12.61</v>
      </c>
      <c r="DA84">
        <f t="shared" si="14"/>
        <v>1</v>
      </c>
      <c r="DB84">
        <v>0</v>
      </c>
    </row>
    <row r="85" spans="1:106" ht="12.75">
      <c r="A85">
        <f>ROW(Source!A33)</f>
        <v>33</v>
      </c>
      <c r="B85">
        <v>27243028</v>
      </c>
      <c r="C85">
        <v>27243316</v>
      </c>
      <c r="D85">
        <v>20804182</v>
      </c>
      <c r="E85">
        <v>1</v>
      </c>
      <c r="F85">
        <v>1</v>
      </c>
      <c r="G85">
        <v>1</v>
      </c>
      <c r="H85">
        <v>2</v>
      </c>
      <c r="I85" t="s">
        <v>265</v>
      </c>
      <c r="J85" t="s">
        <v>386</v>
      </c>
      <c r="K85" t="s">
        <v>267</v>
      </c>
      <c r="L85">
        <v>1368</v>
      </c>
      <c r="N85">
        <v>1011</v>
      </c>
      <c r="O85" t="s">
        <v>262</v>
      </c>
      <c r="P85" t="s">
        <v>262</v>
      </c>
      <c r="Q85">
        <v>1</v>
      </c>
      <c r="W85">
        <v>0</v>
      </c>
      <c r="X85">
        <v>1059265300</v>
      </c>
      <c r="Y85">
        <v>10.125</v>
      </c>
      <c r="AA85">
        <v>0</v>
      </c>
      <c r="AB85">
        <v>7.94</v>
      </c>
      <c r="AC85">
        <v>0</v>
      </c>
      <c r="AD85">
        <v>0</v>
      </c>
      <c r="AE85">
        <v>0</v>
      </c>
      <c r="AF85">
        <v>7.94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1</v>
      </c>
      <c r="AR85">
        <v>0</v>
      </c>
      <c r="AT85">
        <v>8.1</v>
      </c>
      <c r="AU85" t="s">
        <v>38</v>
      </c>
      <c r="AV85">
        <v>0</v>
      </c>
      <c r="AW85">
        <v>2</v>
      </c>
      <c r="AX85">
        <v>27243344</v>
      </c>
      <c r="AY85">
        <v>2</v>
      </c>
      <c r="AZ85">
        <v>32768</v>
      </c>
      <c r="BA85">
        <v>105</v>
      </c>
      <c r="BB85">
        <v>1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64.31400000000001</v>
      </c>
      <c r="BL85">
        <v>0</v>
      </c>
      <c r="BM85">
        <v>0</v>
      </c>
      <c r="BN85">
        <v>0</v>
      </c>
      <c r="BO85">
        <v>0</v>
      </c>
      <c r="BP85">
        <v>1</v>
      </c>
      <c r="BQ85">
        <v>0</v>
      </c>
      <c r="BR85">
        <v>80.3925</v>
      </c>
      <c r="BS85">
        <v>0</v>
      </c>
      <c r="BT85">
        <v>0</v>
      </c>
      <c r="BU85">
        <v>0</v>
      </c>
      <c r="BV85">
        <v>0</v>
      </c>
      <c r="BW85">
        <v>1</v>
      </c>
      <c r="CX85">
        <f>Y85*Source!I33</f>
        <v>68.14125</v>
      </c>
      <c r="CY85">
        <f t="shared" si="12"/>
        <v>7.94</v>
      </c>
      <c r="CZ85">
        <f t="shared" si="13"/>
        <v>7.94</v>
      </c>
      <c r="DA85">
        <f t="shared" si="14"/>
        <v>1</v>
      </c>
      <c r="DB85">
        <v>0</v>
      </c>
    </row>
    <row r="86" spans="1:106" ht="12.75">
      <c r="A86">
        <f>ROW(Source!A33)</f>
        <v>33</v>
      </c>
      <c r="B86">
        <v>27243028</v>
      </c>
      <c r="C86">
        <v>27243316</v>
      </c>
      <c r="D86">
        <v>20804209</v>
      </c>
      <c r="E86">
        <v>1</v>
      </c>
      <c r="F86">
        <v>1</v>
      </c>
      <c r="G86">
        <v>1</v>
      </c>
      <c r="H86">
        <v>2</v>
      </c>
      <c r="I86" t="s">
        <v>387</v>
      </c>
      <c r="J86" t="s">
        <v>388</v>
      </c>
      <c r="K86" t="s">
        <v>389</v>
      </c>
      <c r="L86">
        <v>1368</v>
      </c>
      <c r="N86">
        <v>1011</v>
      </c>
      <c r="O86" t="s">
        <v>262</v>
      </c>
      <c r="P86" t="s">
        <v>262</v>
      </c>
      <c r="Q86">
        <v>1</v>
      </c>
      <c r="W86">
        <v>0</v>
      </c>
      <c r="X86">
        <v>-1626360890</v>
      </c>
      <c r="Y86">
        <v>1.2875</v>
      </c>
      <c r="AA86">
        <v>0</v>
      </c>
      <c r="AB86">
        <v>10.87</v>
      </c>
      <c r="AC86">
        <v>0</v>
      </c>
      <c r="AD86">
        <v>0</v>
      </c>
      <c r="AE86">
        <v>0</v>
      </c>
      <c r="AF86">
        <v>10.87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1</v>
      </c>
      <c r="AR86">
        <v>0</v>
      </c>
      <c r="AT86">
        <v>1.03</v>
      </c>
      <c r="AU86" t="s">
        <v>38</v>
      </c>
      <c r="AV86">
        <v>0</v>
      </c>
      <c r="AW86">
        <v>2</v>
      </c>
      <c r="AX86">
        <v>27243345</v>
      </c>
      <c r="AY86">
        <v>2</v>
      </c>
      <c r="AZ86">
        <v>32768</v>
      </c>
      <c r="BA86">
        <v>106</v>
      </c>
      <c r="BB86">
        <v>1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11.1961</v>
      </c>
      <c r="BL86">
        <v>0</v>
      </c>
      <c r="BM86">
        <v>0</v>
      </c>
      <c r="BN86">
        <v>0</v>
      </c>
      <c r="BO86">
        <v>0</v>
      </c>
      <c r="BP86">
        <v>1</v>
      </c>
      <c r="BQ86">
        <v>0</v>
      </c>
      <c r="BR86">
        <v>13.995125</v>
      </c>
      <c r="BS86">
        <v>0</v>
      </c>
      <c r="BT86">
        <v>0</v>
      </c>
      <c r="BU86">
        <v>0</v>
      </c>
      <c r="BV86">
        <v>0</v>
      </c>
      <c r="BW86">
        <v>1</v>
      </c>
      <c r="CX86">
        <f>Y86*Source!I33</f>
        <v>8.664875</v>
      </c>
      <c r="CY86">
        <f t="shared" si="12"/>
        <v>10.87</v>
      </c>
      <c r="CZ86">
        <f t="shared" si="13"/>
        <v>10.87</v>
      </c>
      <c r="DA86">
        <f t="shared" si="14"/>
        <v>1</v>
      </c>
      <c r="DB86">
        <v>0</v>
      </c>
    </row>
    <row r="87" spans="1:106" ht="12.75">
      <c r="A87">
        <f>ROW(Source!A33)</f>
        <v>33</v>
      </c>
      <c r="B87">
        <v>27243028</v>
      </c>
      <c r="C87">
        <v>27243316</v>
      </c>
      <c r="D87">
        <v>20804243</v>
      </c>
      <c r="E87">
        <v>1</v>
      </c>
      <c r="F87">
        <v>1</v>
      </c>
      <c r="G87">
        <v>1</v>
      </c>
      <c r="H87">
        <v>2</v>
      </c>
      <c r="I87" t="s">
        <v>390</v>
      </c>
      <c r="J87" t="s">
        <v>391</v>
      </c>
      <c r="K87" t="s">
        <v>392</v>
      </c>
      <c r="L87">
        <v>1368</v>
      </c>
      <c r="N87">
        <v>1011</v>
      </c>
      <c r="O87" t="s">
        <v>262</v>
      </c>
      <c r="P87" t="s">
        <v>262</v>
      </c>
      <c r="Q87">
        <v>1</v>
      </c>
      <c r="W87">
        <v>0</v>
      </c>
      <c r="X87">
        <v>-1182831257</v>
      </c>
      <c r="Y87">
        <v>24.25</v>
      </c>
      <c r="AA87">
        <v>0</v>
      </c>
      <c r="AB87">
        <v>8.79</v>
      </c>
      <c r="AC87">
        <v>0</v>
      </c>
      <c r="AD87">
        <v>0</v>
      </c>
      <c r="AE87">
        <v>0</v>
      </c>
      <c r="AF87">
        <v>8.79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1</v>
      </c>
      <c r="AR87">
        <v>0</v>
      </c>
      <c r="AT87">
        <v>19.4</v>
      </c>
      <c r="AU87" t="s">
        <v>38</v>
      </c>
      <c r="AV87">
        <v>0</v>
      </c>
      <c r="AW87">
        <v>2</v>
      </c>
      <c r="AX87">
        <v>27243346</v>
      </c>
      <c r="AY87">
        <v>2</v>
      </c>
      <c r="AZ87">
        <v>32768</v>
      </c>
      <c r="BA87">
        <v>107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170.52599999999998</v>
      </c>
      <c r="BL87">
        <v>0</v>
      </c>
      <c r="BM87">
        <v>0</v>
      </c>
      <c r="BN87">
        <v>0</v>
      </c>
      <c r="BO87">
        <v>0</v>
      </c>
      <c r="BP87">
        <v>1</v>
      </c>
      <c r="BQ87">
        <v>0</v>
      </c>
      <c r="BR87">
        <v>213.15749999999997</v>
      </c>
      <c r="BS87">
        <v>0</v>
      </c>
      <c r="BT87">
        <v>0</v>
      </c>
      <c r="BU87">
        <v>0</v>
      </c>
      <c r="BV87">
        <v>0</v>
      </c>
      <c r="BW87">
        <v>1</v>
      </c>
      <c r="CX87">
        <f>Y87*Source!I33</f>
        <v>163.20250000000001</v>
      </c>
      <c r="CY87">
        <f t="shared" si="12"/>
        <v>8.79</v>
      </c>
      <c r="CZ87">
        <f t="shared" si="13"/>
        <v>8.79</v>
      </c>
      <c r="DA87">
        <f t="shared" si="14"/>
        <v>1</v>
      </c>
      <c r="DB87">
        <v>0</v>
      </c>
    </row>
    <row r="88" spans="1:106" ht="12.75">
      <c r="A88">
        <f>ROW(Source!A33)</f>
        <v>33</v>
      </c>
      <c r="B88">
        <v>27243028</v>
      </c>
      <c r="C88">
        <v>27243316</v>
      </c>
      <c r="D88">
        <v>0</v>
      </c>
      <c r="E88">
        <v>0</v>
      </c>
      <c r="F88">
        <v>1</v>
      </c>
      <c r="G88">
        <v>1</v>
      </c>
      <c r="H88">
        <v>2</v>
      </c>
      <c r="I88" t="s">
        <v>393</v>
      </c>
      <c r="K88" t="s">
        <v>394</v>
      </c>
      <c r="L88">
        <v>1367</v>
      </c>
      <c r="N88">
        <v>1011</v>
      </c>
      <c r="O88" t="s">
        <v>369</v>
      </c>
      <c r="P88" t="s">
        <v>369</v>
      </c>
      <c r="Q88">
        <v>1</v>
      </c>
      <c r="W88">
        <v>0</v>
      </c>
      <c r="X88">
        <v>206203872</v>
      </c>
      <c r="Y88">
        <v>1.4625</v>
      </c>
      <c r="AA88">
        <v>0</v>
      </c>
      <c r="AB88">
        <v>50.42</v>
      </c>
      <c r="AC88">
        <v>0</v>
      </c>
      <c r="AD88">
        <v>0</v>
      </c>
      <c r="AE88">
        <v>0</v>
      </c>
      <c r="AF88">
        <v>50.42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2</v>
      </c>
      <c r="AQ88">
        <v>1</v>
      </c>
      <c r="AR88">
        <v>0</v>
      </c>
      <c r="AT88">
        <v>1.17</v>
      </c>
      <c r="AU88" t="s">
        <v>38</v>
      </c>
      <c r="AV88">
        <v>0</v>
      </c>
      <c r="AW88">
        <v>2</v>
      </c>
      <c r="AX88">
        <v>27243347</v>
      </c>
      <c r="AY88">
        <v>2</v>
      </c>
      <c r="AZ88">
        <v>32768</v>
      </c>
      <c r="BA88">
        <v>108</v>
      </c>
      <c r="BB88">
        <v>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58.9914</v>
      </c>
      <c r="BL88">
        <v>0</v>
      </c>
      <c r="BM88">
        <v>0</v>
      </c>
      <c r="BN88">
        <v>0</v>
      </c>
      <c r="BO88">
        <v>0</v>
      </c>
      <c r="BP88">
        <v>1</v>
      </c>
      <c r="BQ88">
        <v>0</v>
      </c>
      <c r="BR88">
        <v>73.73925</v>
      </c>
      <c r="BS88">
        <v>0</v>
      </c>
      <c r="BT88">
        <v>0</v>
      </c>
      <c r="BU88">
        <v>0</v>
      </c>
      <c r="BV88">
        <v>0</v>
      </c>
      <c r="BW88">
        <v>1</v>
      </c>
      <c r="CX88">
        <f>Y88*Source!I33</f>
        <v>9.842625</v>
      </c>
      <c r="CY88">
        <f t="shared" si="12"/>
        <v>50.42</v>
      </c>
      <c r="CZ88">
        <f t="shared" si="13"/>
        <v>50.42</v>
      </c>
      <c r="DA88">
        <f t="shared" si="14"/>
        <v>1</v>
      </c>
      <c r="DB88">
        <v>0</v>
      </c>
    </row>
    <row r="89" spans="1:106" ht="12.75">
      <c r="A89">
        <f>ROW(Source!A33)</f>
        <v>33</v>
      </c>
      <c r="B89">
        <v>27243028</v>
      </c>
      <c r="C89">
        <v>27243316</v>
      </c>
      <c r="D89">
        <v>0</v>
      </c>
      <c r="E89">
        <v>0</v>
      </c>
      <c r="F89">
        <v>1</v>
      </c>
      <c r="G89">
        <v>1</v>
      </c>
      <c r="H89">
        <v>2</v>
      </c>
      <c r="I89" t="s">
        <v>271</v>
      </c>
      <c r="K89" t="s">
        <v>273</v>
      </c>
      <c r="L89">
        <v>1367</v>
      </c>
      <c r="N89">
        <v>1011</v>
      </c>
      <c r="O89" t="s">
        <v>369</v>
      </c>
      <c r="P89" t="s">
        <v>369</v>
      </c>
      <c r="Q89">
        <v>1</v>
      </c>
      <c r="W89">
        <v>0</v>
      </c>
      <c r="X89">
        <v>-855606463</v>
      </c>
      <c r="Y89">
        <v>0.05</v>
      </c>
      <c r="AA89">
        <v>0</v>
      </c>
      <c r="AB89">
        <v>698.33</v>
      </c>
      <c r="AC89">
        <v>0</v>
      </c>
      <c r="AD89">
        <v>0</v>
      </c>
      <c r="AE89">
        <v>0</v>
      </c>
      <c r="AF89">
        <v>698.33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2</v>
      </c>
      <c r="AQ89">
        <v>1</v>
      </c>
      <c r="AR89">
        <v>0</v>
      </c>
      <c r="AT89">
        <v>0.04</v>
      </c>
      <c r="AU89" t="s">
        <v>38</v>
      </c>
      <c r="AV89">
        <v>0</v>
      </c>
      <c r="AW89">
        <v>2</v>
      </c>
      <c r="AX89">
        <v>27243348</v>
      </c>
      <c r="AY89">
        <v>2</v>
      </c>
      <c r="AZ89">
        <v>98304</v>
      </c>
      <c r="BA89">
        <v>109</v>
      </c>
      <c r="BB89">
        <v>1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27.933200000000003</v>
      </c>
      <c r="BL89">
        <v>0</v>
      </c>
      <c r="BM89">
        <v>0</v>
      </c>
      <c r="BN89">
        <v>0</v>
      </c>
      <c r="BO89">
        <v>0</v>
      </c>
      <c r="BP89">
        <v>1</v>
      </c>
      <c r="BQ89">
        <v>0</v>
      </c>
      <c r="BR89">
        <v>34.916500000000006</v>
      </c>
      <c r="BS89">
        <v>0</v>
      </c>
      <c r="BT89">
        <v>0</v>
      </c>
      <c r="BU89">
        <v>0</v>
      </c>
      <c r="BV89">
        <v>0</v>
      </c>
      <c r="BW89">
        <v>1</v>
      </c>
      <c r="CX89">
        <f>Y89*Source!I33</f>
        <v>0.3365</v>
      </c>
      <c r="CY89">
        <f t="shared" si="12"/>
        <v>698.33</v>
      </c>
      <c r="CZ89">
        <f t="shared" si="13"/>
        <v>698.33</v>
      </c>
      <c r="DA89">
        <f t="shared" si="14"/>
        <v>1</v>
      </c>
      <c r="DB89">
        <v>0</v>
      </c>
    </row>
    <row r="90" spans="1:106" ht="12.75">
      <c r="A90">
        <f>ROW(Source!A33)</f>
        <v>33</v>
      </c>
      <c r="B90">
        <v>27243028</v>
      </c>
      <c r="C90">
        <v>27243316</v>
      </c>
      <c r="D90">
        <v>0</v>
      </c>
      <c r="E90">
        <v>0</v>
      </c>
      <c r="F90">
        <v>1</v>
      </c>
      <c r="G90">
        <v>1</v>
      </c>
      <c r="H90">
        <v>3</v>
      </c>
      <c r="K90" t="s">
        <v>395</v>
      </c>
      <c r="L90">
        <v>1327</v>
      </c>
      <c r="N90">
        <v>1005</v>
      </c>
      <c r="O90" t="s">
        <v>322</v>
      </c>
      <c r="P90" t="s">
        <v>322</v>
      </c>
      <c r="Q90">
        <v>1</v>
      </c>
      <c r="W90">
        <v>0</v>
      </c>
      <c r="X90">
        <v>-1324732692</v>
      </c>
      <c r="Y90">
        <v>128</v>
      </c>
      <c r="AA90">
        <v>458.14</v>
      </c>
      <c r="AB90">
        <v>0</v>
      </c>
      <c r="AC90">
        <v>0</v>
      </c>
      <c r="AD90">
        <v>0</v>
      </c>
      <c r="AE90">
        <v>458.14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2</v>
      </c>
      <c r="AQ90">
        <v>1</v>
      </c>
      <c r="AR90">
        <v>0</v>
      </c>
      <c r="AT90">
        <v>128</v>
      </c>
      <c r="AV90">
        <v>0</v>
      </c>
      <c r="AW90">
        <v>1</v>
      </c>
      <c r="AX90">
        <v>-1</v>
      </c>
      <c r="AY90">
        <v>0</v>
      </c>
      <c r="AZ90">
        <v>0</v>
      </c>
      <c r="BB90">
        <v>1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58641.92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1</v>
      </c>
      <c r="BQ90">
        <v>58641.92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1</v>
      </c>
      <c r="CX90">
        <f>Y90*Source!I33</f>
        <v>861.44</v>
      </c>
      <c r="CY90">
        <f aca="true" t="shared" si="15" ref="CY90:CY101">AA90</f>
        <v>458.14</v>
      </c>
      <c r="CZ90">
        <f aca="true" t="shared" si="16" ref="CZ90:CZ101">AE90</f>
        <v>458.14</v>
      </c>
      <c r="DA90">
        <f aca="true" t="shared" si="17" ref="DA90:DA101">AI90</f>
        <v>1</v>
      </c>
      <c r="DB90">
        <v>0</v>
      </c>
    </row>
    <row r="91" spans="1:106" ht="12.75">
      <c r="A91">
        <f>ROW(Source!A33)</f>
        <v>33</v>
      </c>
      <c r="B91">
        <v>27243028</v>
      </c>
      <c r="C91">
        <v>27243316</v>
      </c>
      <c r="D91">
        <v>0</v>
      </c>
      <c r="E91">
        <v>0</v>
      </c>
      <c r="F91">
        <v>1</v>
      </c>
      <c r="G91">
        <v>1</v>
      </c>
      <c r="H91">
        <v>3</v>
      </c>
      <c r="K91" t="s">
        <v>396</v>
      </c>
      <c r="L91">
        <v>1301</v>
      </c>
      <c r="N91">
        <v>1003</v>
      </c>
      <c r="O91" t="s">
        <v>397</v>
      </c>
      <c r="P91" t="s">
        <v>397</v>
      </c>
      <c r="Q91">
        <v>1</v>
      </c>
      <c r="W91">
        <v>0</v>
      </c>
      <c r="X91">
        <v>102623550</v>
      </c>
      <c r="Y91">
        <v>6.14</v>
      </c>
      <c r="AA91">
        <v>666.32</v>
      </c>
      <c r="AB91">
        <v>0</v>
      </c>
      <c r="AC91">
        <v>0</v>
      </c>
      <c r="AD91">
        <v>0</v>
      </c>
      <c r="AE91">
        <v>666.32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2</v>
      </c>
      <c r="AQ91">
        <v>1</v>
      </c>
      <c r="AR91">
        <v>0</v>
      </c>
      <c r="AT91">
        <v>6.14</v>
      </c>
      <c r="AV91">
        <v>0</v>
      </c>
      <c r="AW91">
        <v>1</v>
      </c>
      <c r="AX91">
        <v>-1</v>
      </c>
      <c r="AY91">
        <v>0</v>
      </c>
      <c r="AZ91">
        <v>0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4091.2048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1</v>
      </c>
      <c r="BQ91">
        <v>4091.2048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1</v>
      </c>
      <c r="CX91">
        <f>Y91*Source!I33</f>
        <v>41.3222</v>
      </c>
      <c r="CY91">
        <f t="shared" si="15"/>
        <v>666.32</v>
      </c>
      <c r="CZ91">
        <f t="shared" si="16"/>
        <v>666.32</v>
      </c>
      <c r="DA91">
        <f t="shared" si="17"/>
        <v>1</v>
      </c>
      <c r="DB91">
        <v>0</v>
      </c>
    </row>
    <row r="92" spans="1:106" ht="12.75">
      <c r="A92">
        <f>ROW(Source!A33)</f>
        <v>33</v>
      </c>
      <c r="B92">
        <v>27243028</v>
      </c>
      <c r="C92">
        <v>27243316</v>
      </c>
      <c r="D92">
        <v>0</v>
      </c>
      <c r="E92">
        <v>0</v>
      </c>
      <c r="F92">
        <v>1</v>
      </c>
      <c r="G92">
        <v>1</v>
      </c>
      <c r="H92">
        <v>3</v>
      </c>
      <c r="K92" t="s">
        <v>398</v>
      </c>
      <c r="L92">
        <v>1301</v>
      </c>
      <c r="N92">
        <v>1003</v>
      </c>
      <c r="O92" t="s">
        <v>397</v>
      </c>
      <c r="P92" t="s">
        <v>397</v>
      </c>
      <c r="Q92">
        <v>1</v>
      </c>
      <c r="W92">
        <v>0</v>
      </c>
      <c r="X92">
        <v>474696370</v>
      </c>
      <c r="Y92">
        <v>134</v>
      </c>
      <c r="AA92">
        <v>262.19</v>
      </c>
      <c r="AB92">
        <v>0</v>
      </c>
      <c r="AC92">
        <v>0</v>
      </c>
      <c r="AD92">
        <v>0</v>
      </c>
      <c r="AE92">
        <v>262.19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2</v>
      </c>
      <c r="AQ92">
        <v>1</v>
      </c>
      <c r="AR92">
        <v>0</v>
      </c>
      <c r="AT92">
        <v>134</v>
      </c>
      <c r="AV92">
        <v>0</v>
      </c>
      <c r="AW92">
        <v>1</v>
      </c>
      <c r="AX92">
        <v>-1</v>
      </c>
      <c r="AY92">
        <v>0</v>
      </c>
      <c r="AZ92">
        <v>0</v>
      </c>
      <c r="BB92">
        <v>1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35133.46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1</v>
      </c>
      <c r="BQ92">
        <v>35133.46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1</v>
      </c>
      <c r="CX92">
        <f>Y92*Source!I33</f>
        <v>901.82</v>
      </c>
      <c r="CY92">
        <f t="shared" si="15"/>
        <v>262.19</v>
      </c>
      <c r="CZ92">
        <f t="shared" si="16"/>
        <v>262.19</v>
      </c>
      <c r="DA92">
        <f t="shared" si="17"/>
        <v>1</v>
      </c>
      <c r="DB92">
        <v>0</v>
      </c>
    </row>
    <row r="93" spans="1:106" ht="12.75">
      <c r="A93">
        <f>ROW(Source!A33)</f>
        <v>33</v>
      </c>
      <c r="B93">
        <v>27243028</v>
      </c>
      <c r="C93">
        <v>27243316</v>
      </c>
      <c r="D93">
        <v>0</v>
      </c>
      <c r="E93">
        <v>0</v>
      </c>
      <c r="F93">
        <v>1</v>
      </c>
      <c r="G93">
        <v>1</v>
      </c>
      <c r="H93">
        <v>3</v>
      </c>
      <c r="K93" t="s">
        <v>399</v>
      </c>
      <c r="L93">
        <v>1301</v>
      </c>
      <c r="N93">
        <v>1003</v>
      </c>
      <c r="O93" t="s">
        <v>397</v>
      </c>
      <c r="P93" t="s">
        <v>397</v>
      </c>
      <c r="Q93">
        <v>1</v>
      </c>
      <c r="W93">
        <v>0</v>
      </c>
      <c r="X93">
        <v>1136113889</v>
      </c>
      <c r="Y93">
        <v>67</v>
      </c>
      <c r="AA93">
        <v>206.45</v>
      </c>
      <c r="AB93">
        <v>0</v>
      </c>
      <c r="AC93">
        <v>0</v>
      </c>
      <c r="AD93">
        <v>0</v>
      </c>
      <c r="AE93">
        <v>206.45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2</v>
      </c>
      <c r="AQ93">
        <v>1</v>
      </c>
      <c r="AR93">
        <v>0</v>
      </c>
      <c r="AT93">
        <v>67</v>
      </c>
      <c r="AV93">
        <v>0</v>
      </c>
      <c r="AW93">
        <v>1</v>
      </c>
      <c r="AX93">
        <v>-1</v>
      </c>
      <c r="AY93">
        <v>0</v>
      </c>
      <c r="AZ93">
        <v>0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13832.15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1</v>
      </c>
      <c r="BQ93">
        <v>13832.15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1</v>
      </c>
      <c r="CX93">
        <f>Y93*Source!I33</f>
        <v>450.91</v>
      </c>
      <c r="CY93">
        <f t="shared" si="15"/>
        <v>206.45</v>
      </c>
      <c r="CZ93">
        <f t="shared" si="16"/>
        <v>206.45</v>
      </c>
      <c r="DA93">
        <f t="shared" si="17"/>
        <v>1</v>
      </c>
      <c r="DB93">
        <v>0</v>
      </c>
    </row>
    <row r="94" spans="1:106" ht="12.75">
      <c r="A94">
        <f>ROW(Source!A33)</f>
        <v>33</v>
      </c>
      <c r="B94">
        <v>27243028</v>
      </c>
      <c r="C94">
        <v>27243316</v>
      </c>
      <c r="D94">
        <v>0</v>
      </c>
      <c r="E94">
        <v>0</v>
      </c>
      <c r="F94">
        <v>1</v>
      </c>
      <c r="G94">
        <v>1</v>
      </c>
      <c r="H94">
        <v>3</v>
      </c>
      <c r="K94" t="s">
        <v>400</v>
      </c>
      <c r="L94">
        <v>1354</v>
      </c>
      <c r="N94">
        <v>1010</v>
      </c>
      <c r="O94" t="s">
        <v>380</v>
      </c>
      <c r="P94" t="s">
        <v>380</v>
      </c>
      <c r="Q94">
        <v>1</v>
      </c>
      <c r="W94">
        <v>0</v>
      </c>
      <c r="X94">
        <v>1752140939</v>
      </c>
      <c r="Y94">
        <v>335.00404203718676</v>
      </c>
      <c r="AA94">
        <v>13.39</v>
      </c>
      <c r="AB94">
        <v>0</v>
      </c>
      <c r="AC94">
        <v>0</v>
      </c>
      <c r="AD94">
        <v>0</v>
      </c>
      <c r="AE94">
        <v>13.39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2</v>
      </c>
      <c r="AQ94">
        <v>1</v>
      </c>
      <c r="AR94">
        <v>0</v>
      </c>
      <c r="AT94">
        <v>335.00404203718676</v>
      </c>
      <c r="AV94">
        <v>0</v>
      </c>
      <c r="AW94">
        <v>1</v>
      </c>
      <c r="AX94">
        <v>-1</v>
      </c>
      <c r="AY94">
        <v>0</v>
      </c>
      <c r="AZ94">
        <v>0</v>
      </c>
      <c r="BB94">
        <v>1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4485.704122877931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1</v>
      </c>
      <c r="BQ94">
        <v>4485.704122877931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1</v>
      </c>
      <c r="CX94">
        <f>Y94*Source!I33</f>
        <v>2254.5772029102673</v>
      </c>
      <c r="CY94">
        <f t="shared" si="15"/>
        <v>13.39</v>
      </c>
      <c r="CZ94">
        <f t="shared" si="16"/>
        <v>13.39</v>
      </c>
      <c r="DA94">
        <f t="shared" si="17"/>
        <v>1</v>
      </c>
      <c r="DB94">
        <v>0</v>
      </c>
    </row>
    <row r="95" spans="1:106" ht="12.75">
      <c r="A95">
        <f>ROW(Source!A33)</f>
        <v>33</v>
      </c>
      <c r="B95">
        <v>27243028</v>
      </c>
      <c r="C95">
        <v>27243316</v>
      </c>
      <c r="D95">
        <v>0</v>
      </c>
      <c r="E95">
        <v>0</v>
      </c>
      <c r="F95">
        <v>1</v>
      </c>
      <c r="G95">
        <v>1</v>
      </c>
      <c r="H95">
        <v>3</v>
      </c>
      <c r="K95" t="s">
        <v>401</v>
      </c>
      <c r="L95">
        <v>1296</v>
      </c>
      <c r="N95">
        <v>1002</v>
      </c>
      <c r="O95" t="s">
        <v>402</v>
      </c>
      <c r="P95" t="s">
        <v>402</v>
      </c>
      <c r="Q95">
        <v>1</v>
      </c>
      <c r="W95">
        <v>0</v>
      </c>
      <c r="X95">
        <v>-296189421</v>
      </c>
      <c r="Y95">
        <v>0.63</v>
      </c>
      <c r="AA95">
        <v>406.5</v>
      </c>
      <c r="AB95">
        <v>0</v>
      </c>
      <c r="AC95">
        <v>0</v>
      </c>
      <c r="AD95">
        <v>0</v>
      </c>
      <c r="AE95">
        <v>406.5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2</v>
      </c>
      <c r="AQ95">
        <v>1</v>
      </c>
      <c r="AR95">
        <v>0</v>
      </c>
      <c r="AT95">
        <v>0.63</v>
      </c>
      <c r="AV95">
        <v>0</v>
      </c>
      <c r="AW95">
        <v>1</v>
      </c>
      <c r="AX95">
        <v>-1</v>
      </c>
      <c r="AY95">
        <v>0</v>
      </c>
      <c r="AZ95">
        <v>0</v>
      </c>
      <c r="BB95">
        <v>1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256.095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1</v>
      </c>
      <c r="BQ95">
        <v>256.095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1</v>
      </c>
      <c r="CX95">
        <f>Y95*Source!I33</f>
        <v>4.2399000000000004</v>
      </c>
      <c r="CY95">
        <f t="shared" si="15"/>
        <v>406.5</v>
      </c>
      <c r="CZ95">
        <f t="shared" si="16"/>
        <v>406.5</v>
      </c>
      <c r="DA95">
        <f t="shared" si="17"/>
        <v>1</v>
      </c>
      <c r="DB95">
        <v>0</v>
      </c>
    </row>
    <row r="96" spans="1:106" ht="12.75">
      <c r="A96">
        <f>ROW(Source!A33)</f>
        <v>33</v>
      </c>
      <c r="B96">
        <v>27243028</v>
      </c>
      <c r="C96">
        <v>27243316</v>
      </c>
      <c r="D96">
        <v>0</v>
      </c>
      <c r="E96">
        <v>0</v>
      </c>
      <c r="F96">
        <v>1</v>
      </c>
      <c r="G96">
        <v>1</v>
      </c>
      <c r="H96">
        <v>3</v>
      </c>
      <c r="K96" t="s">
        <v>403</v>
      </c>
      <c r="L96">
        <v>1296</v>
      </c>
      <c r="N96">
        <v>1002</v>
      </c>
      <c r="O96" t="s">
        <v>402</v>
      </c>
      <c r="P96" t="s">
        <v>402</v>
      </c>
      <c r="Q96">
        <v>1</v>
      </c>
      <c r="W96">
        <v>0</v>
      </c>
      <c r="X96">
        <v>211942243</v>
      </c>
      <c r="Y96">
        <v>16.5</v>
      </c>
      <c r="AA96">
        <v>605.35</v>
      </c>
      <c r="AB96">
        <v>0</v>
      </c>
      <c r="AC96">
        <v>0</v>
      </c>
      <c r="AD96">
        <v>0</v>
      </c>
      <c r="AE96">
        <v>605.35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2</v>
      </c>
      <c r="AQ96">
        <v>1</v>
      </c>
      <c r="AR96">
        <v>0</v>
      </c>
      <c r="AT96">
        <v>16.5</v>
      </c>
      <c r="AV96">
        <v>0</v>
      </c>
      <c r="AW96">
        <v>1</v>
      </c>
      <c r="AX96">
        <v>-1</v>
      </c>
      <c r="AY96">
        <v>0</v>
      </c>
      <c r="AZ96">
        <v>0</v>
      </c>
      <c r="BB96">
        <v>1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9988.275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1</v>
      </c>
      <c r="BQ96">
        <v>9988.275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1</v>
      </c>
      <c r="CX96">
        <f>Y96*Source!I33</f>
        <v>111.045</v>
      </c>
      <c r="CY96">
        <f t="shared" si="15"/>
        <v>605.35</v>
      </c>
      <c r="CZ96">
        <f t="shared" si="16"/>
        <v>605.35</v>
      </c>
      <c r="DA96">
        <f t="shared" si="17"/>
        <v>1</v>
      </c>
      <c r="DB96">
        <v>0</v>
      </c>
    </row>
    <row r="97" spans="1:106" ht="12.75">
      <c r="A97">
        <f>ROW(Source!A33)</f>
        <v>33</v>
      </c>
      <c r="B97">
        <v>27243028</v>
      </c>
      <c r="C97">
        <v>27243316</v>
      </c>
      <c r="D97">
        <v>0</v>
      </c>
      <c r="E97">
        <v>0</v>
      </c>
      <c r="F97">
        <v>1</v>
      </c>
      <c r="G97">
        <v>1</v>
      </c>
      <c r="H97">
        <v>3</v>
      </c>
      <c r="K97" t="s">
        <v>404</v>
      </c>
      <c r="L97">
        <v>1296</v>
      </c>
      <c r="N97">
        <v>1002</v>
      </c>
      <c r="O97" t="s">
        <v>402</v>
      </c>
      <c r="P97" t="s">
        <v>402</v>
      </c>
      <c r="Q97">
        <v>1</v>
      </c>
      <c r="W97">
        <v>0</v>
      </c>
      <c r="X97">
        <v>53170732</v>
      </c>
      <c r="Y97">
        <v>151.2</v>
      </c>
      <c r="AA97">
        <v>516.94</v>
      </c>
      <c r="AB97">
        <v>0</v>
      </c>
      <c r="AC97">
        <v>0</v>
      </c>
      <c r="AD97">
        <v>0</v>
      </c>
      <c r="AE97">
        <v>516.94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2</v>
      </c>
      <c r="AQ97">
        <v>1</v>
      </c>
      <c r="AR97">
        <v>0</v>
      </c>
      <c r="AT97">
        <v>151.2</v>
      </c>
      <c r="AV97">
        <v>0</v>
      </c>
      <c r="AW97">
        <v>1</v>
      </c>
      <c r="AX97">
        <v>-1</v>
      </c>
      <c r="AY97">
        <v>0</v>
      </c>
      <c r="AZ97">
        <v>0</v>
      </c>
      <c r="BB97">
        <v>1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78161.32800000001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1</v>
      </c>
      <c r="BQ97">
        <v>78161.32800000001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1</v>
      </c>
      <c r="CX97">
        <f>Y97*Source!I33</f>
        <v>1017.576</v>
      </c>
      <c r="CY97">
        <f t="shared" si="15"/>
        <v>516.94</v>
      </c>
      <c r="CZ97">
        <f t="shared" si="16"/>
        <v>516.94</v>
      </c>
      <c r="DA97">
        <f t="shared" si="17"/>
        <v>1</v>
      </c>
      <c r="DB97">
        <v>0</v>
      </c>
    </row>
    <row r="98" spans="1:106" ht="12.75">
      <c r="A98">
        <f>ROW(Source!A33)</f>
        <v>33</v>
      </c>
      <c r="B98">
        <v>27243028</v>
      </c>
      <c r="C98">
        <v>27243316</v>
      </c>
      <c r="D98">
        <v>0</v>
      </c>
      <c r="E98">
        <v>0</v>
      </c>
      <c r="F98">
        <v>1</v>
      </c>
      <c r="G98">
        <v>1</v>
      </c>
      <c r="H98">
        <v>3</v>
      </c>
      <c r="K98" t="s">
        <v>405</v>
      </c>
      <c r="L98">
        <v>1301</v>
      </c>
      <c r="N98">
        <v>1003</v>
      </c>
      <c r="O98" t="s">
        <v>397</v>
      </c>
      <c r="P98" t="s">
        <v>397</v>
      </c>
      <c r="Q98">
        <v>1</v>
      </c>
      <c r="W98">
        <v>0</v>
      </c>
      <c r="X98">
        <v>-1575911984</v>
      </c>
      <c r="Y98">
        <v>56.29210455402856</v>
      </c>
      <c r="AA98">
        <v>166.4</v>
      </c>
      <c r="AB98">
        <v>0</v>
      </c>
      <c r="AC98">
        <v>0</v>
      </c>
      <c r="AD98">
        <v>0</v>
      </c>
      <c r="AE98">
        <v>166.4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2</v>
      </c>
      <c r="AQ98">
        <v>1</v>
      </c>
      <c r="AR98">
        <v>0</v>
      </c>
      <c r="AT98">
        <v>56.29210455402856</v>
      </c>
      <c r="AV98">
        <v>0</v>
      </c>
      <c r="AW98">
        <v>1</v>
      </c>
      <c r="AX98">
        <v>-1</v>
      </c>
      <c r="AY98">
        <v>0</v>
      </c>
      <c r="AZ98">
        <v>0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9367.006197790353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1</v>
      </c>
      <c r="BQ98">
        <v>9367.006197790353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1</v>
      </c>
      <c r="CX98">
        <f>Y98*Source!I33</f>
        <v>378.84586364861224</v>
      </c>
      <c r="CY98">
        <f t="shared" si="15"/>
        <v>166.4</v>
      </c>
      <c r="CZ98">
        <f t="shared" si="16"/>
        <v>166.4</v>
      </c>
      <c r="DA98">
        <f t="shared" si="17"/>
        <v>1</v>
      </c>
      <c r="DB98">
        <v>0</v>
      </c>
    </row>
    <row r="99" spans="1:106" ht="12.75">
      <c r="A99">
        <f>ROW(Source!A33)</f>
        <v>33</v>
      </c>
      <c r="B99">
        <v>27243028</v>
      </c>
      <c r="C99">
        <v>27243316</v>
      </c>
      <c r="D99">
        <v>0</v>
      </c>
      <c r="E99">
        <v>0</v>
      </c>
      <c r="F99">
        <v>1</v>
      </c>
      <c r="G99">
        <v>1</v>
      </c>
      <c r="H99">
        <v>3</v>
      </c>
      <c r="K99" t="s">
        <v>406</v>
      </c>
      <c r="L99">
        <v>1354</v>
      </c>
      <c r="N99">
        <v>1010</v>
      </c>
      <c r="O99" t="s">
        <v>380</v>
      </c>
      <c r="P99" t="s">
        <v>380</v>
      </c>
      <c r="Q99">
        <v>1</v>
      </c>
      <c r="W99">
        <v>0</v>
      </c>
      <c r="X99">
        <v>827597763</v>
      </c>
      <c r="Y99">
        <v>200</v>
      </c>
      <c r="AA99">
        <v>1.78</v>
      </c>
      <c r="AB99">
        <v>0</v>
      </c>
      <c r="AC99">
        <v>0</v>
      </c>
      <c r="AD99">
        <v>0</v>
      </c>
      <c r="AE99">
        <v>1.78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1</v>
      </c>
      <c r="AQ99">
        <v>1</v>
      </c>
      <c r="AR99">
        <v>0</v>
      </c>
      <c r="AT99">
        <v>200</v>
      </c>
      <c r="AV99">
        <v>0</v>
      </c>
      <c r="AW99">
        <v>1</v>
      </c>
      <c r="AX99">
        <v>-1</v>
      </c>
      <c r="AY99">
        <v>0</v>
      </c>
      <c r="AZ99">
        <v>0</v>
      </c>
      <c r="BB99">
        <v>1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356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1</v>
      </c>
      <c r="BQ99">
        <v>356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1</v>
      </c>
      <c r="CX99">
        <f>Y99*Source!I33</f>
        <v>1346</v>
      </c>
      <c r="CY99">
        <f t="shared" si="15"/>
        <v>1.78</v>
      </c>
      <c r="CZ99">
        <f t="shared" si="16"/>
        <v>1.78</v>
      </c>
      <c r="DA99">
        <f t="shared" si="17"/>
        <v>1</v>
      </c>
      <c r="DB99">
        <v>0</v>
      </c>
    </row>
    <row r="100" spans="1:106" ht="12.75">
      <c r="A100">
        <f>ROW(Source!A33)</f>
        <v>33</v>
      </c>
      <c r="B100">
        <v>27243028</v>
      </c>
      <c r="C100">
        <v>27243316</v>
      </c>
      <c r="D100">
        <v>0</v>
      </c>
      <c r="E100">
        <v>0</v>
      </c>
      <c r="F100">
        <v>1</v>
      </c>
      <c r="G100">
        <v>1</v>
      </c>
      <c r="H100">
        <v>3</v>
      </c>
      <c r="K100" t="s">
        <v>407</v>
      </c>
      <c r="L100">
        <v>1354</v>
      </c>
      <c r="N100">
        <v>1010</v>
      </c>
      <c r="O100" t="s">
        <v>380</v>
      </c>
      <c r="P100" t="s">
        <v>380</v>
      </c>
      <c r="Q100">
        <v>1</v>
      </c>
      <c r="W100">
        <v>0</v>
      </c>
      <c r="X100">
        <v>-1560390879</v>
      </c>
      <c r="Y100">
        <v>12</v>
      </c>
      <c r="AA100">
        <v>621.34</v>
      </c>
      <c r="AB100">
        <v>0</v>
      </c>
      <c r="AC100">
        <v>0</v>
      </c>
      <c r="AD100">
        <v>0</v>
      </c>
      <c r="AE100">
        <v>621.34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1</v>
      </c>
      <c r="AQ100">
        <v>1</v>
      </c>
      <c r="AR100">
        <v>0</v>
      </c>
      <c r="AT100">
        <v>12</v>
      </c>
      <c r="AV100">
        <v>0</v>
      </c>
      <c r="AW100">
        <v>1</v>
      </c>
      <c r="AX100">
        <v>-1</v>
      </c>
      <c r="AY100">
        <v>0</v>
      </c>
      <c r="AZ100">
        <v>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7456.08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1</v>
      </c>
      <c r="BQ100">
        <v>7456.08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CX100">
        <f>Y100*Source!I33</f>
        <v>80.76</v>
      </c>
      <c r="CY100">
        <f t="shared" si="15"/>
        <v>621.34</v>
      </c>
      <c r="CZ100">
        <f t="shared" si="16"/>
        <v>621.34</v>
      </c>
      <c r="DA100">
        <f t="shared" si="17"/>
        <v>1</v>
      </c>
      <c r="DB100">
        <v>0</v>
      </c>
    </row>
    <row r="101" spans="1:106" ht="12.75">
      <c r="A101">
        <f>ROW(Source!A33)</f>
        <v>33</v>
      </c>
      <c r="B101">
        <v>27243028</v>
      </c>
      <c r="C101">
        <v>27243316</v>
      </c>
      <c r="D101">
        <v>0</v>
      </c>
      <c r="E101">
        <v>0</v>
      </c>
      <c r="F101">
        <v>1</v>
      </c>
      <c r="G101">
        <v>1</v>
      </c>
      <c r="H101">
        <v>3</v>
      </c>
      <c r="K101" t="s">
        <v>408</v>
      </c>
      <c r="L101">
        <v>0</v>
      </c>
      <c r="W101">
        <v>0</v>
      </c>
      <c r="X101">
        <v>-1504253188</v>
      </c>
      <c r="Y101">
        <v>3.5004042037186744</v>
      </c>
      <c r="AA101">
        <v>52.32</v>
      </c>
      <c r="AB101">
        <v>0</v>
      </c>
      <c r="AC101">
        <v>0</v>
      </c>
      <c r="AD101">
        <v>0</v>
      </c>
      <c r="AE101">
        <v>52.32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2</v>
      </c>
      <c r="AQ101">
        <v>1</v>
      </c>
      <c r="AR101">
        <v>0</v>
      </c>
      <c r="AT101">
        <v>3.5004042037186744</v>
      </c>
      <c r="AV101">
        <v>0</v>
      </c>
      <c r="AW101">
        <v>1</v>
      </c>
      <c r="AX101">
        <v>-1</v>
      </c>
      <c r="AY101">
        <v>0</v>
      </c>
      <c r="AZ101">
        <v>0</v>
      </c>
      <c r="BB101">
        <v>1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183.14114793856106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1</v>
      </c>
      <c r="BQ101">
        <v>183.14114793856106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</v>
      </c>
      <c r="CX101">
        <f>Y101*Source!I33</f>
        <v>23.55772029102668</v>
      </c>
      <c r="CY101">
        <f t="shared" si="15"/>
        <v>52.32</v>
      </c>
      <c r="CZ101">
        <f t="shared" si="16"/>
        <v>52.32</v>
      </c>
      <c r="DA101">
        <f t="shared" si="17"/>
        <v>1</v>
      </c>
      <c r="DB101">
        <v>0</v>
      </c>
    </row>
    <row r="102" spans="1:106" ht="12.75">
      <c r="A102">
        <f>ROW(Source!A34)</f>
        <v>34</v>
      </c>
      <c r="B102">
        <v>27243028</v>
      </c>
      <c r="C102">
        <v>27243356</v>
      </c>
      <c r="D102">
        <v>20812189</v>
      </c>
      <c r="E102">
        <v>1</v>
      </c>
      <c r="F102">
        <v>1</v>
      </c>
      <c r="G102">
        <v>1</v>
      </c>
      <c r="H102">
        <v>1</v>
      </c>
      <c r="I102" t="s">
        <v>409</v>
      </c>
      <c r="K102" t="s">
        <v>410</v>
      </c>
      <c r="L102">
        <v>1369</v>
      </c>
      <c r="N102">
        <v>1013</v>
      </c>
      <c r="O102" t="s">
        <v>258</v>
      </c>
      <c r="P102" t="s">
        <v>258</v>
      </c>
      <c r="Q102">
        <v>1</v>
      </c>
      <c r="W102">
        <v>0</v>
      </c>
      <c r="X102">
        <v>2133962043</v>
      </c>
      <c r="Y102">
        <v>101.24</v>
      </c>
      <c r="AA102">
        <v>0</v>
      </c>
      <c r="AB102">
        <v>0</v>
      </c>
      <c r="AC102">
        <v>0</v>
      </c>
      <c r="AD102">
        <v>120.31</v>
      </c>
      <c r="AE102">
        <v>0</v>
      </c>
      <c r="AF102">
        <v>0</v>
      </c>
      <c r="AG102">
        <v>0</v>
      </c>
      <c r="AH102">
        <v>120.31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1</v>
      </c>
      <c r="AQ102">
        <v>1</v>
      </c>
      <c r="AR102">
        <v>0</v>
      </c>
      <c r="AT102">
        <v>101.24</v>
      </c>
      <c r="AV102">
        <v>1</v>
      </c>
      <c r="AW102">
        <v>2</v>
      </c>
      <c r="AX102">
        <v>27243363</v>
      </c>
      <c r="AY102">
        <v>2</v>
      </c>
      <c r="AZ102">
        <v>131072</v>
      </c>
      <c r="BA102">
        <v>117</v>
      </c>
      <c r="BB102">
        <v>1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12180.1844</v>
      </c>
      <c r="BN102">
        <v>101.24</v>
      </c>
      <c r="BO102">
        <v>0</v>
      </c>
      <c r="BP102">
        <v>1</v>
      </c>
      <c r="BQ102">
        <v>0</v>
      </c>
      <c r="BR102">
        <v>0</v>
      </c>
      <c r="BS102">
        <v>0</v>
      </c>
      <c r="BT102">
        <v>12180.1844</v>
      </c>
      <c r="BU102">
        <v>101.24</v>
      </c>
      <c r="BV102">
        <v>0</v>
      </c>
      <c r="BW102">
        <v>1</v>
      </c>
      <c r="CX102">
        <f>Y102*Source!I34</f>
        <v>182.83944</v>
      </c>
      <c r="CY102">
        <f>AD102</f>
        <v>120.31</v>
      </c>
      <c r="CZ102">
        <f>AH102</f>
        <v>120.31</v>
      </c>
      <c r="DA102">
        <f>AL102</f>
        <v>1</v>
      </c>
      <c r="DB102">
        <v>0</v>
      </c>
    </row>
    <row r="103" spans="1:106" ht="12.75">
      <c r="A103">
        <f>ROW(Source!A34)</f>
        <v>34</v>
      </c>
      <c r="B103">
        <v>27243028</v>
      </c>
      <c r="C103">
        <v>27243356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23</v>
      </c>
      <c r="K103" t="s">
        <v>276</v>
      </c>
      <c r="L103">
        <v>608254</v>
      </c>
      <c r="N103">
        <v>1013</v>
      </c>
      <c r="O103" t="s">
        <v>277</v>
      </c>
      <c r="P103" t="s">
        <v>277</v>
      </c>
      <c r="Q103">
        <v>1</v>
      </c>
      <c r="W103">
        <v>0</v>
      </c>
      <c r="X103">
        <v>-185737400</v>
      </c>
      <c r="Y103">
        <v>0.25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1</v>
      </c>
      <c r="AR103">
        <v>0</v>
      </c>
      <c r="AT103">
        <v>0.25</v>
      </c>
      <c r="AV103">
        <v>2</v>
      </c>
      <c r="AW103">
        <v>2</v>
      </c>
      <c r="AX103">
        <v>27243364</v>
      </c>
      <c r="AY103">
        <v>1</v>
      </c>
      <c r="AZ103">
        <v>0</v>
      </c>
      <c r="BA103">
        <v>118</v>
      </c>
      <c r="BB103">
        <v>1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0.25</v>
      </c>
      <c r="BP103">
        <v>1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0.25</v>
      </c>
      <c r="BW103">
        <v>1</v>
      </c>
      <c r="CX103">
        <f>Y103*Source!I34</f>
        <v>0.4515</v>
      </c>
      <c r="CY103">
        <f>AD103</f>
        <v>0</v>
      </c>
      <c r="CZ103">
        <f>AH103</f>
        <v>0</v>
      </c>
      <c r="DA103">
        <f>AL103</f>
        <v>1</v>
      </c>
      <c r="DB103">
        <v>0</v>
      </c>
    </row>
    <row r="104" spans="1:106" ht="12.75">
      <c r="A104">
        <f>ROW(Source!A34)</f>
        <v>34</v>
      </c>
      <c r="B104">
        <v>27243028</v>
      </c>
      <c r="C104">
        <v>27243356</v>
      </c>
      <c r="D104">
        <v>20802825</v>
      </c>
      <c r="E104">
        <v>1</v>
      </c>
      <c r="F104">
        <v>1</v>
      </c>
      <c r="G104">
        <v>1</v>
      </c>
      <c r="H104">
        <v>2</v>
      </c>
      <c r="I104" t="s">
        <v>411</v>
      </c>
      <c r="J104" t="s">
        <v>412</v>
      </c>
      <c r="K104" t="s">
        <v>413</v>
      </c>
      <c r="L104">
        <v>1368</v>
      </c>
      <c r="N104">
        <v>1011</v>
      </c>
      <c r="O104" t="s">
        <v>262</v>
      </c>
      <c r="P104" t="s">
        <v>262</v>
      </c>
      <c r="Q104">
        <v>1</v>
      </c>
      <c r="W104">
        <v>0</v>
      </c>
      <c r="X104">
        <v>-1027223354</v>
      </c>
      <c r="Y104">
        <v>0.25</v>
      </c>
      <c r="AA104">
        <v>0</v>
      </c>
      <c r="AB104">
        <v>258.94</v>
      </c>
      <c r="AC104">
        <v>0</v>
      </c>
      <c r="AD104">
        <v>0</v>
      </c>
      <c r="AE104">
        <v>0</v>
      </c>
      <c r="AF104">
        <v>258.94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1</v>
      </c>
      <c r="AQ104">
        <v>1</v>
      </c>
      <c r="AR104">
        <v>0</v>
      </c>
      <c r="AT104">
        <v>0.25</v>
      </c>
      <c r="AV104">
        <v>0</v>
      </c>
      <c r="AW104">
        <v>2</v>
      </c>
      <c r="AX104">
        <v>27243365</v>
      </c>
      <c r="AY104">
        <v>2</v>
      </c>
      <c r="AZ104">
        <v>98304</v>
      </c>
      <c r="BA104">
        <v>119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64.735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0</v>
      </c>
      <c r="BR104">
        <v>64.735</v>
      </c>
      <c r="BS104">
        <v>0</v>
      </c>
      <c r="BT104">
        <v>0</v>
      </c>
      <c r="BU104">
        <v>0</v>
      </c>
      <c r="BV104">
        <v>0</v>
      </c>
      <c r="BW104">
        <v>1</v>
      </c>
      <c r="CX104">
        <f>Y104*Source!I34</f>
        <v>0.4515</v>
      </c>
      <c r="CY104">
        <f>AB104</f>
        <v>258.94</v>
      </c>
      <c r="CZ104">
        <f>AF104</f>
        <v>258.94</v>
      </c>
      <c r="DA104">
        <f>AJ104</f>
        <v>1</v>
      </c>
      <c r="DB104">
        <v>0</v>
      </c>
    </row>
    <row r="105" spans="1:106" ht="12.75">
      <c r="A105">
        <f>ROW(Source!A34)</f>
        <v>34</v>
      </c>
      <c r="B105">
        <v>27243028</v>
      </c>
      <c r="C105">
        <v>27243356</v>
      </c>
      <c r="D105">
        <v>20752623</v>
      </c>
      <c r="E105">
        <v>1</v>
      </c>
      <c r="F105">
        <v>1</v>
      </c>
      <c r="G105">
        <v>1</v>
      </c>
      <c r="H105">
        <v>3</v>
      </c>
      <c r="I105" t="s">
        <v>414</v>
      </c>
      <c r="J105" t="s">
        <v>415</v>
      </c>
      <c r="K105" t="s">
        <v>416</v>
      </c>
      <c r="L105">
        <v>1354</v>
      </c>
      <c r="N105">
        <v>1010</v>
      </c>
      <c r="O105" t="s">
        <v>380</v>
      </c>
      <c r="P105" t="s">
        <v>380</v>
      </c>
      <c r="Q105">
        <v>1</v>
      </c>
      <c r="W105">
        <v>0</v>
      </c>
      <c r="X105">
        <v>-1083236896</v>
      </c>
      <c r="Y105">
        <v>300</v>
      </c>
      <c r="AA105">
        <v>3.88</v>
      </c>
      <c r="AB105">
        <v>0</v>
      </c>
      <c r="AC105">
        <v>0</v>
      </c>
      <c r="AD105">
        <v>0</v>
      </c>
      <c r="AE105">
        <v>3.88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1</v>
      </c>
      <c r="AR105">
        <v>0</v>
      </c>
      <c r="AT105">
        <v>300</v>
      </c>
      <c r="AV105">
        <v>0</v>
      </c>
      <c r="AW105">
        <v>2</v>
      </c>
      <c r="AX105">
        <v>27243367</v>
      </c>
      <c r="AY105">
        <v>2</v>
      </c>
      <c r="AZ105">
        <v>22528</v>
      </c>
      <c r="BA105">
        <v>121</v>
      </c>
      <c r="BB105">
        <v>1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1164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1</v>
      </c>
      <c r="BQ105">
        <v>1164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1</v>
      </c>
      <c r="CX105">
        <f>Y105*Source!I34</f>
        <v>541.8000000000001</v>
      </c>
      <c r="CY105">
        <f>AA105</f>
        <v>3.88</v>
      </c>
      <c r="CZ105">
        <f>AE105</f>
        <v>3.88</v>
      </c>
      <c r="DA105">
        <f>AI105</f>
        <v>1</v>
      </c>
      <c r="DB105">
        <v>0</v>
      </c>
    </row>
    <row r="106" spans="1:106" ht="12.75">
      <c r="A106">
        <f>ROW(Source!A34)</f>
        <v>34</v>
      </c>
      <c r="B106">
        <v>27243028</v>
      </c>
      <c r="C106">
        <v>27243356</v>
      </c>
      <c r="D106">
        <v>20753584</v>
      </c>
      <c r="E106">
        <v>1</v>
      </c>
      <c r="F106">
        <v>1</v>
      </c>
      <c r="G106">
        <v>1</v>
      </c>
      <c r="H106">
        <v>3</v>
      </c>
      <c r="I106" t="s">
        <v>417</v>
      </c>
      <c r="J106" t="s">
        <v>418</v>
      </c>
      <c r="K106" t="s">
        <v>419</v>
      </c>
      <c r="L106">
        <v>1348</v>
      </c>
      <c r="N106">
        <v>1009</v>
      </c>
      <c r="O106" t="s">
        <v>100</v>
      </c>
      <c r="P106" t="s">
        <v>100</v>
      </c>
      <c r="Q106">
        <v>1000</v>
      </c>
      <c r="W106">
        <v>0</v>
      </c>
      <c r="X106">
        <v>-1114137737</v>
      </c>
      <c r="Y106">
        <v>0.294</v>
      </c>
      <c r="AA106">
        <v>47457.6</v>
      </c>
      <c r="AB106">
        <v>0</v>
      </c>
      <c r="AC106">
        <v>0</v>
      </c>
      <c r="AD106">
        <v>0</v>
      </c>
      <c r="AE106">
        <v>47457.6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1</v>
      </c>
      <c r="AR106">
        <v>0</v>
      </c>
      <c r="AT106">
        <v>0.294</v>
      </c>
      <c r="AV106">
        <v>0</v>
      </c>
      <c r="AW106">
        <v>2</v>
      </c>
      <c r="AX106">
        <v>27243370</v>
      </c>
      <c r="AY106">
        <v>2</v>
      </c>
      <c r="AZ106">
        <v>16384</v>
      </c>
      <c r="BA106">
        <v>124</v>
      </c>
      <c r="BB106">
        <v>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13952.534399999999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1</v>
      </c>
      <c r="BQ106">
        <v>13952.534399999999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1</v>
      </c>
      <c r="CX106">
        <f>Y106*Source!I34</f>
        <v>0.530964</v>
      </c>
      <c r="CY106">
        <f>AA106</f>
        <v>47457.6</v>
      </c>
      <c r="CZ106">
        <f>AE106</f>
        <v>47457.6</v>
      </c>
      <c r="DA106">
        <f>AI106</f>
        <v>1</v>
      </c>
      <c r="DB106">
        <v>0</v>
      </c>
    </row>
    <row r="107" spans="1:106" ht="12.75">
      <c r="A107">
        <f>ROW(Source!A34)</f>
        <v>34</v>
      </c>
      <c r="B107">
        <v>27243028</v>
      </c>
      <c r="C107">
        <v>27243356</v>
      </c>
      <c r="D107">
        <v>20802516</v>
      </c>
      <c r="E107">
        <v>1</v>
      </c>
      <c r="F107">
        <v>1</v>
      </c>
      <c r="G107">
        <v>1</v>
      </c>
      <c r="H107">
        <v>3</v>
      </c>
      <c r="I107" t="s">
        <v>420</v>
      </c>
      <c r="J107" t="s">
        <v>421</v>
      </c>
      <c r="K107" t="s">
        <v>422</v>
      </c>
      <c r="L107">
        <v>1348</v>
      </c>
      <c r="N107">
        <v>1009</v>
      </c>
      <c r="O107" t="s">
        <v>100</v>
      </c>
      <c r="P107" t="s">
        <v>100</v>
      </c>
      <c r="Q107">
        <v>1000</v>
      </c>
      <c r="W107">
        <v>0</v>
      </c>
      <c r="X107">
        <v>-745815465</v>
      </c>
      <c r="Y107">
        <v>0.594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1</v>
      </c>
      <c r="AO107">
        <v>0</v>
      </c>
      <c r="AP107">
        <v>0</v>
      </c>
      <c r="AQ107">
        <v>1</v>
      </c>
      <c r="AR107">
        <v>0</v>
      </c>
      <c r="AT107">
        <v>0.594</v>
      </c>
      <c r="AV107">
        <v>0</v>
      </c>
      <c r="AW107">
        <v>2</v>
      </c>
      <c r="AX107">
        <v>27243371</v>
      </c>
      <c r="AY107">
        <v>1</v>
      </c>
      <c r="AZ107">
        <v>0</v>
      </c>
      <c r="BA107">
        <v>125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Y107*Source!I34</f>
        <v>1.072764</v>
      </c>
      <c r="CY107">
        <f>AA107</f>
        <v>0</v>
      </c>
      <c r="CZ107">
        <f>AE107</f>
        <v>0</v>
      </c>
      <c r="DA107">
        <f>AI107</f>
        <v>1</v>
      </c>
      <c r="DB107">
        <v>0</v>
      </c>
    </row>
    <row r="108" spans="1:106" ht="12.75">
      <c r="A108">
        <f>ROW(Source!A35)</f>
        <v>35</v>
      </c>
      <c r="B108">
        <v>27243028</v>
      </c>
      <c r="C108">
        <v>27243372</v>
      </c>
      <c r="D108">
        <v>0</v>
      </c>
      <c r="E108">
        <v>0</v>
      </c>
      <c r="F108">
        <v>1</v>
      </c>
      <c r="G108">
        <v>1</v>
      </c>
      <c r="H108">
        <v>2</v>
      </c>
      <c r="K108" t="s">
        <v>423</v>
      </c>
      <c r="L108">
        <v>1368</v>
      </c>
      <c r="N108">
        <v>1011</v>
      </c>
      <c r="O108" t="s">
        <v>262</v>
      </c>
      <c r="P108" t="s">
        <v>262</v>
      </c>
      <c r="Q108">
        <v>1</v>
      </c>
      <c r="W108">
        <v>0</v>
      </c>
      <c r="X108">
        <v>1613438681</v>
      </c>
      <c r="Y108">
        <v>1.518</v>
      </c>
      <c r="AA108">
        <v>0</v>
      </c>
      <c r="AB108">
        <v>117.36</v>
      </c>
      <c r="AC108">
        <v>0</v>
      </c>
      <c r="AD108">
        <v>0</v>
      </c>
      <c r="AE108">
        <v>0</v>
      </c>
      <c r="AF108">
        <v>117.36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1</v>
      </c>
      <c r="AQ108">
        <v>1</v>
      </c>
      <c r="AR108">
        <v>0</v>
      </c>
      <c r="AT108">
        <v>1.518</v>
      </c>
      <c r="AV108">
        <v>0</v>
      </c>
      <c r="AW108">
        <v>1</v>
      </c>
      <c r="AX108">
        <v>-1</v>
      </c>
      <c r="AY108">
        <v>0</v>
      </c>
      <c r="AZ108">
        <v>0</v>
      </c>
      <c r="BB108">
        <v>1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178.15248</v>
      </c>
      <c r="BL108">
        <v>0</v>
      </c>
      <c r="BM108">
        <v>0</v>
      </c>
      <c r="BN108">
        <v>0</v>
      </c>
      <c r="BO108">
        <v>0</v>
      </c>
      <c r="BP108">
        <v>1</v>
      </c>
      <c r="BQ108">
        <v>0</v>
      </c>
      <c r="BR108">
        <v>178.15248</v>
      </c>
      <c r="BS108">
        <v>0</v>
      </c>
      <c r="BT108">
        <v>0</v>
      </c>
      <c r="BU108">
        <v>0</v>
      </c>
      <c r="BV108">
        <v>0</v>
      </c>
      <c r="BW108">
        <v>1</v>
      </c>
      <c r="CX108">
        <f>Y108*Source!I35</f>
        <v>25.806</v>
      </c>
      <c r="CY108">
        <f>AB108</f>
        <v>117.36</v>
      </c>
      <c r="CZ108">
        <f>AF108</f>
        <v>117.36</v>
      </c>
      <c r="DA108">
        <f>AJ108</f>
        <v>1</v>
      </c>
      <c r="DB108">
        <v>0</v>
      </c>
    </row>
    <row r="109" spans="1:106" ht="12.75">
      <c r="A109">
        <f>ROW(Source!A36)</f>
        <v>36</v>
      </c>
      <c r="B109">
        <v>27243028</v>
      </c>
      <c r="C109">
        <v>27243374</v>
      </c>
      <c r="D109">
        <v>121548</v>
      </c>
      <c r="E109">
        <v>1</v>
      </c>
      <c r="F109">
        <v>1</v>
      </c>
      <c r="G109">
        <v>1</v>
      </c>
      <c r="H109">
        <v>1</v>
      </c>
      <c r="I109" t="s">
        <v>23</v>
      </c>
      <c r="K109" t="s">
        <v>276</v>
      </c>
      <c r="L109">
        <v>608254</v>
      </c>
      <c r="N109">
        <v>1013</v>
      </c>
      <c r="O109" t="s">
        <v>277</v>
      </c>
      <c r="P109" t="s">
        <v>277</v>
      </c>
      <c r="Q109">
        <v>1</v>
      </c>
      <c r="W109">
        <v>0</v>
      </c>
      <c r="X109">
        <v>-185737400</v>
      </c>
      <c r="Y109">
        <v>0.024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0</v>
      </c>
      <c r="AQ109">
        <v>1</v>
      </c>
      <c r="AR109">
        <v>0</v>
      </c>
      <c r="AT109">
        <v>0.024</v>
      </c>
      <c r="AV109">
        <v>2</v>
      </c>
      <c r="AW109">
        <v>2</v>
      </c>
      <c r="AX109">
        <v>27243377</v>
      </c>
      <c r="AY109">
        <v>1</v>
      </c>
      <c r="AZ109">
        <v>0</v>
      </c>
      <c r="BA109">
        <v>126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0.024</v>
      </c>
      <c r="BP109">
        <v>1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0.024</v>
      </c>
      <c r="BW109">
        <v>1</v>
      </c>
      <c r="CX109">
        <f>Y109*Source!I36</f>
        <v>0.40800000000000003</v>
      </c>
      <c r="CY109">
        <f>AD109</f>
        <v>0</v>
      </c>
      <c r="CZ109">
        <f>AH109</f>
        <v>0</v>
      </c>
      <c r="DA109">
        <f>AL109</f>
        <v>1</v>
      </c>
      <c r="DB109">
        <v>0</v>
      </c>
    </row>
    <row r="110" spans="1:106" ht="12.75">
      <c r="A110">
        <f>ROW(Source!A36)</f>
        <v>36</v>
      </c>
      <c r="B110">
        <v>27243028</v>
      </c>
      <c r="C110">
        <v>27243374</v>
      </c>
      <c r="D110">
        <v>1467629</v>
      </c>
      <c r="E110">
        <v>1</v>
      </c>
      <c r="F110">
        <v>1</v>
      </c>
      <c r="G110">
        <v>1</v>
      </c>
      <c r="H110">
        <v>2</v>
      </c>
      <c r="I110" t="s">
        <v>424</v>
      </c>
      <c r="J110" t="s">
        <v>425</v>
      </c>
      <c r="K110" t="s">
        <v>426</v>
      </c>
      <c r="L110">
        <v>1480</v>
      </c>
      <c r="N110">
        <v>1013</v>
      </c>
      <c r="O110" t="s">
        <v>427</v>
      </c>
      <c r="P110" t="s">
        <v>428</v>
      </c>
      <c r="Q110">
        <v>1</v>
      </c>
      <c r="W110">
        <v>0</v>
      </c>
      <c r="X110">
        <v>-2089524230</v>
      </c>
      <c r="Y110">
        <v>0.024</v>
      </c>
      <c r="AA110">
        <v>0</v>
      </c>
      <c r="AB110">
        <v>707.78</v>
      </c>
      <c r="AC110">
        <v>0</v>
      </c>
      <c r="AD110">
        <v>0</v>
      </c>
      <c r="AE110">
        <v>0</v>
      </c>
      <c r="AF110">
        <v>707.78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1</v>
      </c>
      <c r="AR110">
        <v>0</v>
      </c>
      <c r="AT110">
        <v>0.024</v>
      </c>
      <c r="AV110">
        <v>0</v>
      </c>
      <c r="AW110">
        <v>2</v>
      </c>
      <c r="AX110">
        <v>27243378</v>
      </c>
      <c r="AY110">
        <v>2</v>
      </c>
      <c r="AZ110">
        <v>98304</v>
      </c>
      <c r="BA110">
        <v>127</v>
      </c>
      <c r="BB110">
        <v>1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16.98672</v>
      </c>
      <c r="BL110">
        <v>0</v>
      </c>
      <c r="BM110">
        <v>0</v>
      </c>
      <c r="BN110">
        <v>0</v>
      </c>
      <c r="BO110">
        <v>0</v>
      </c>
      <c r="BP110">
        <v>1</v>
      </c>
      <c r="BQ110">
        <v>0</v>
      </c>
      <c r="BR110">
        <v>16.98672</v>
      </c>
      <c r="BS110">
        <v>0</v>
      </c>
      <c r="BT110">
        <v>0</v>
      </c>
      <c r="BU110">
        <v>0</v>
      </c>
      <c r="BV110">
        <v>0</v>
      </c>
      <c r="BW110">
        <v>1</v>
      </c>
      <c r="CX110">
        <f>Y110*Source!I36</f>
        <v>0.40800000000000003</v>
      </c>
      <c r="CY110">
        <f>AB110</f>
        <v>707.78</v>
      </c>
      <c r="CZ110">
        <f>AF110</f>
        <v>707.78</v>
      </c>
      <c r="DA110">
        <f>AJ110</f>
        <v>1</v>
      </c>
      <c r="DB110">
        <v>0</v>
      </c>
    </row>
    <row r="111" spans="1:106" ht="12.75">
      <c r="A111">
        <f>ROW(Source!A78)</f>
        <v>78</v>
      </c>
      <c r="B111">
        <v>27243028</v>
      </c>
      <c r="C111">
        <v>27243379</v>
      </c>
      <c r="D111">
        <v>9415152</v>
      </c>
      <c r="E111">
        <v>1</v>
      </c>
      <c r="F111">
        <v>1</v>
      </c>
      <c r="G111">
        <v>1</v>
      </c>
      <c r="H111">
        <v>1</v>
      </c>
      <c r="I111" t="s">
        <v>256</v>
      </c>
      <c r="K111" t="s">
        <v>257</v>
      </c>
      <c r="L111">
        <v>1369</v>
      </c>
      <c r="N111">
        <v>1013</v>
      </c>
      <c r="O111" t="s">
        <v>258</v>
      </c>
      <c r="P111" t="s">
        <v>258</v>
      </c>
      <c r="Q111">
        <v>1</v>
      </c>
      <c r="W111">
        <v>0</v>
      </c>
      <c r="X111">
        <v>1607597553</v>
      </c>
      <c r="Y111">
        <v>14.38</v>
      </c>
      <c r="AA111">
        <v>0</v>
      </c>
      <c r="AB111">
        <v>0</v>
      </c>
      <c r="AC111">
        <v>0</v>
      </c>
      <c r="AD111">
        <v>115.12</v>
      </c>
      <c r="AE111">
        <v>0</v>
      </c>
      <c r="AF111">
        <v>0</v>
      </c>
      <c r="AG111">
        <v>0</v>
      </c>
      <c r="AH111">
        <v>115.12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1</v>
      </c>
      <c r="AQ111">
        <v>1</v>
      </c>
      <c r="AR111">
        <v>0</v>
      </c>
      <c r="AT111">
        <v>14.38</v>
      </c>
      <c r="AV111">
        <v>1</v>
      </c>
      <c r="AW111">
        <v>2</v>
      </c>
      <c r="AX111">
        <v>27243382</v>
      </c>
      <c r="AY111">
        <v>2</v>
      </c>
      <c r="AZ111">
        <v>131072</v>
      </c>
      <c r="BA111">
        <v>128</v>
      </c>
      <c r="BB111">
        <v>1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1655.4256000000003</v>
      </c>
      <c r="BN111">
        <v>14.38</v>
      </c>
      <c r="BO111">
        <v>0</v>
      </c>
      <c r="BP111">
        <v>1</v>
      </c>
      <c r="BQ111">
        <v>0</v>
      </c>
      <c r="BR111">
        <v>0</v>
      </c>
      <c r="BS111">
        <v>0</v>
      </c>
      <c r="BT111">
        <v>1655.4256000000003</v>
      </c>
      <c r="BU111">
        <v>14.38</v>
      </c>
      <c r="BV111">
        <v>0</v>
      </c>
      <c r="BW111">
        <v>1</v>
      </c>
      <c r="CX111">
        <f>Y111*Source!I78</f>
        <v>10.00848</v>
      </c>
      <c r="CY111">
        <f>AD111</f>
        <v>115.12</v>
      </c>
      <c r="CZ111">
        <f>AH111</f>
        <v>115.12</v>
      </c>
      <c r="DA111">
        <f>AL111</f>
        <v>1</v>
      </c>
      <c r="DB111">
        <v>0</v>
      </c>
    </row>
    <row r="112" spans="1:106" ht="12.75">
      <c r="A112">
        <f>ROW(Source!A78)</f>
        <v>78</v>
      </c>
      <c r="B112">
        <v>27243028</v>
      </c>
      <c r="C112">
        <v>27243379</v>
      </c>
      <c r="D112">
        <v>24322593</v>
      </c>
      <c r="E112">
        <v>1</v>
      </c>
      <c r="F112">
        <v>1</v>
      </c>
      <c r="G112">
        <v>1</v>
      </c>
      <c r="H112">
        <v>2</v>
      </c>
      <c r="I112" t="s">
        <v>259</v>
      </c>
      <c r="J112" t="s">
        <v>260</v>
      </c>
      <c r="K112" t="s">
        <v>261</v>
      </c>
      <c r="L112">
        <v>1368</v>
      </c>
      <c r="N112">
        <v>1011</v>
      </c>
      <c r="O112" t="s">
        <v>262</v>
      </c>
      <c r="P112" t="s">
        <v>262</v>
      </c>
      <c r="Q112">
        <v>1</v>
      </c>
      <c r="W112">
        <v>0</v>
      </c>
      <c r="X112">
        <v>1118787931</v>
      </c>
      <c r="Y112">
        <v>6.22</v>
      </c>
      <c r="AA112">
        <v>0</v>
      </c>
      <c r="AB112">
        <v>26.85</v>
      </c>
      <c r="AC112">
        <v>0</v>
      </c>
      <c r="AD112">
        <v>0</v>
      </c>
      <c r="AE112">
        <v>0</v>
      </c>
      <c r="AF112">
        <v>26.85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1</v>
      </c>
      <c r="AR112">
        <v>0</v>
      </c>
      <c r="AT112">
        <v>6.22</v>
      </c>
      <c r="AV112">
        <v>0</v>
      </c>
      <c r="AW112">
        <v>2</v>
      </c>
      <c r="AX112">
        <v>27243383</v>
      </c>
      <c r="AY112">
        <v>2</v>
      </c>
      <c r="AZ112">
        <v>32768</v>
      </c>
      <c r="BA112">
        <v>129</v>
      </c>
      <c r="BB112">
        <v>1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167.007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0</v>
      </c>
      <c r="BR112">
        <v>167.007</v>
      </c>
      <c r="BS112">
        <v>0</v>
      </c>
      <c r="BT112">
        <v>0</v>
      </c>
      <c r="BU112">
        <v>0</v>
      </c>
      <c r="BV112">
        <v>0</v>
      </c>
      <c r="BW112">
        <v>1</v>
      </c>
      <c r="CX112">
        <f>Y112*Source!I78</f>
        <v>4.32912</v>
      </c>
      <c r="CY112">
        <f>AB112</f>
        <v>26.85</v>
      </c>
      <c r="CZ112">
        <f>AF112</f>
        <v>26.85</v>
      </c>
      <c r="DA112">
        <f>AJ112</f>
        <v>1</v>
      </c>
      <c r="DB112">
        <v>0</v>
      </c>
    </row>
    <row r="113" spans="1:106" ht="12.75">
      <c r="A113">
        <f>ROW(Source!A79)</f>
        <v>79</v>
      </c>
      <c r="B113">
        <v>27243028</v>
      </c>
      <c r="C113">
        <v>27243384</v>
      </c>
      <c r="D113">
        <v>20812201</v>
      </c>
      <c r="E113">
        <v>1</v>
      </c>
      <c r="F113">
        <v>1</v>
      </c>
      <c r="G113">
        <v>1</v>
      </c>
      <c r="H113">
        <v>1</v>
      </c>
      <c r="I113" t="s">
        <v>364</v>
      </c>
      <c r="K113" t="s">
        <v>365</v>
      </c>
      <c r="L113">
        <v>1369</v>
      </c>
      <c r="N113">
        <v>1013</v>
      </c>
      <c r="O113" t="s">
        <v>258</v>
      </c>
      <c r="P113" t="s">
        <v>258</v>
      </c>
      <c r="Q113">
        <v>1</v>
      </c>
      <c r="W113">
        <v>0</v>
      </c>
      <c r="X113">
        <v>569290204</v>
      </c>
      <c r="Y113">
        <v>164.45</v>
      </c>
      <c r="AA113">
        <v>0</v>
      </c>
      <c r="AB113">
        <v>0</v>
      </c>
      <c r="AC113">
        <v>0</v>
      </c>
      <c r="AD113">
        <v>125.72</v>
      </c>
      <c r="AE113">
        <v>0</v>
      </c>
      <c r="AF113">
        <v>0</v>
      </c>
      <c r="AG113">
        <v>0</v>
      </c>
      <c r="AH113">
        <v>125.72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1</v>
      </c>
      <c r="AR113">
        <v>0</v>
      </c>
      <c r="AT113">
        <v>143</v>
      </c>
      <c r="AU113" t="s">
        <v>39</v>
      </c>
      <c r="AV113">
        <v>1</v>
      </c>
      <c r="AW113">
        <v>2</v>
      </c>
      <c r="AX113">
        <v>27243391</v>
      </c>
      <c r="AY113">
        <v>2</v>
      </c>
      <c r="AZ113">
        <v>131072</v>
      </c>
      <c r="BA113">
        <v>130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17977.96</v>
      </c>
      <c r="BN113">
        <v>143</v>
      </c>
      <c r="BO113">
        <v>0</v>
      </c>
      <c r="BP113">
        <v>1</v>
      </c>
      <c r="BQ113">
        <v>0</v>
      </c>
      <c r="BR113">
        <v>0</v>
      </c>
      <c r="BS113">
        <v>0</v>
      </c>
      <c r="BT113">
        <v>20674.654</v>
      </c>
      <c r="BU113">
        <v>164.45</v>
      </c>
      <c r="BV113">
        <v>0</v>
      </c>
      <c r="BW113">
        <v>1</v>
      </c>
      <c r="CX113">
        <f>Y113*Source!I79</f>
        <v>153.9252</v>
      </c>
      <c r="CY113">
        <f>AD113</f>
        <v>125.72</v>
      </c>
      <c r="CZ113">
        <f>AH113</f>
        <v>125.72</v>
      </c>
      <c r="DA113">
        <f>AL113</f>
        <v>1</v>
      </c>
      <c r="DB113">
        <v>0</v>
      </c>
    </row>
    <row r="114" spans="1:106" ht="12.75">
      <c r="A114">
        <f>ROW(Source!A79)</f>
        <v>79</v>
      </c>
      <c r="B114">
        <v>27243028</v>
      </c>
      <c r="C114">
        <v>27243384</v>
      </c>
      <c r="D114">
        <v>20804248</v>
      </c>
      <c r="E114">
        <v>1</v>
      </c>
      <c r="F114">
        <v>1</v>
      </c>
      <c r="G114">
        <v>1</v>
      </c>
      <c r="H114">
        <v>2</v>
      </c>
      <c r="I114" t="s">
        <v>366</v>
      </c>
      <c r="J114" t="s">
        <v>367</v>
      </c>
      <c r="K114" t="s">
        <v>368</v>
      </c>
      <c r="L114">
        <v>1368</v>
      </c>
      <c r="N114">
        <v>1011</v>
      </c>
      <c r="O114" t="s">
        <v>262</v>
      </c>
      <c r="P114" t="s">
        <v>262</v>
      </c>
      <c r="Q114">
        <v>1</v>
      </c>
      <c r="W114">
        <v>0</v>
      </c>
      <c r="X114">
        <v>-803576573</v>
      </c>
      <c r="Y114">
        <v>1.7874999999999999</v>
      </c>
      <c r="AA114">
        <v>0</v>
      </c>
      <c r="AB114">
        <v>6.4</v>
      </c>
      <c r="AC114">
        <v>0</v>
      </c>
      <c r="AD114">
        <v>0</v>
      </c>
      <c r="AE114">
        <v>0</v>
      </c>
      <c r="AF114">
        <v>6.4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1</v>
      </c>
      <c r="AR114">
        <v>0</v>
      </c>
      <c r="AT114">
        <v>1.43</v>
      </c>
      <c r="AU114" t="s">
        <v>38</v>
      </c>
      <c r="AV114">
        <v>0</v>
      </c>
      <c r="AW114">
        <v>2</v>
      </c>
      <c r="AX114">
        <v>27243392</v>
      </c>
      <c r="AY114">
        <v>2</v>
      </c>
      <c r="AZ114">
        <v>32768</v>
      </c>
      <c r="BA114">
        <v>131</v>
      </c>
      <c r="BB114">
        <v>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9.152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0</v>
      </c>
      <c r="BR114">
        <v>11.44</v>
      </c>
      <c r="BS114">
        <v>0</v>
      </c>
      <c r="BT114">
        <v>0</v>
      </c>
      <c r="BU114">
        <v>0</v>
      </c>
      <c r="BV114">
        <v>0</v>
      </c>
      <c r="BW114">
        <v>1</v>
      </c>
      <c r="CX114">
        <f>Y114*Source!I79</f>
        <v>1.6731</v>
      </c>
      <c r="CY114">
        <f>AB114</f>
        <v>6.4</v>
      </c>
      <c r="CZ114">
        <f>AF114</f>
        <v>6.4</v>
      </c>
      <c r="DA114">
        <f>AJ114</f>
        <v>1</v>
      </c>
      <c r="DB114">
        <v>0</v>
      </c>
    </row>
    <row r="115" spans="1:106" ht="12.75">
      <c r="A115">
        <f>ROW(Source!A79)</f>
        <v>79</v>
      </c>
      <c r="B115">
        <v>27243028</v>
      </c>
      <c r="C115">
        <v>27243384</v>
      </c>
      <c r="D115">
        <v>20753521</v>
      </c>
      <c r="E115">
        <v>1</v>
      </c>
      <c r="F115">
        <v>1</v>
      </c>
      <c r="G115">
        <v>1</v>
      </c>
      <c r="H115">
        <v>3</v>
      </c>
      <c r="I115" t="s">
        <v>358</v>
      </c>
      <c r="J115" t="s">
        <v>370</v>
      </c>
      <c r="K115" t="s">
        <v>360</v>
      </c>
      <c r="L115">
        <v>1348</v>
      </c>
      <c r="N115">
        <v>1009</v>
      </c>
      <c r="O115" t="s">
        <v>100</v>
      </c>
      <c r="P115" t="s">
        <v>100</v>
      </c>
      <c r="Q115">
        <v>1000</v>
      </c>
      <c r="W115">
        <v>0</v>
      </c>
      <c r="X115">
        <v>175036287</v>
      </c>
      <c r="Y115">
        <v>0.0036</v>
      </c>
      <c r="AA115">
        <v>65000</v>
      </c>
      <c r="AB115">
        <v>0</v>
      </c>
      <c r="AC115">
        <v>0</v>
      </c>
      <c r="AD115">
        <v>0</v>
      </c>
      <c r="AE115">
        <v>65000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1</v>
      </c>
      <c r="AR115">
        <v>0</v>
      </c>
      <c r="AT115">
        <v>0.0036</v>
      </c>
      <c r="AV115">
        <v>0</v>
      </c>
      <c r="AW115">
        <v>2</v>
      </c>
      <c r="AX115">
        <v>27243394</v>
      </c>
      <c r="AY115">
        <v>2</v>
      </c>
      <c r="AZ115">
        <v>16384</v>
      </c>
      <c r="BA115">
        <v>133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234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234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1</v>
      </c>
      <c r="CX115">
        <f>Y115*Source!I79</f>
        <v>0.0033696</v>
      </c>
      <c r="CY115">
        <f>AA115</f>
        <v>65000</v>
      </c>
      <c r="CZ115">
        <f>AE115</f>
        <v>65000</v>
      </c>
      <c r="DA115">
        <f>AI115</f>
        <v>1</v>
      </c>
      <c r="DB115">
        <v>0</v>
      </c>
    </row>
    <row r="116" spans="1:106" ht="12.75">
      <c r="A116">
        <f>ROW(Source!A79)</f>
        <v>79</v>
      </c>
      <c r="B116">
        <v>27243028</v>
      </c>
      <c r="C116">
        <v>27243384</v>
      </c>
      <c r="D116">
        <v>20756264</v>
      </c>
      <c r="E116">
        <v>1</v>
      </c>
      <c r="F116">
        <v>1</v>
      </c>
      <c r="G116">
        <v>1</v>
      </c>
      <c r="H116">
        <v>3</v>
      </c>
      <c r="I116" t="s">
        <v>371</v>
      </c>
      <c r="J116" t="s">
        <v>372</v>
      </c>
      <c r="K116" t="s">
        <v>373</v>
      </c>
      <c r="L116">
        <v>1339</v>
      </c>
      <c r="N116">
        <v>1007</v>
      </c>
      <c r="O116" t="s">
        <v>302</v>
      </c>
      <c r="P116" t="s">
        <v>302</v>
      </c>
      <c r="Q116">
        <v>1</v>
      </c>
      <c r="W116">
        <v>0</v>
      </c>
      <c r="X116">
        <v>-48035653</v>
      </c>
      <c r="Y116">
        <v>1.5</v>
      </c>
      <c r="AA116">
        <v>5762.71</v>
      </c>
      <c r="AB116">
        <v>0</v>
      </c>
      <c r="AC116">
        <v>0</v>
      </c>
      <c r="AD116">
        <v>0</v>
      </c>
      <c r="AE116">
        <v>5762.71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1</v>
      </c>
      <c r="AR116">
        <v>0</v>
      </c>
      <c r="AT116">
        <v>1.5</v>
      </c>
      <c r="AV116">
        <v>0</v>
      </c>
      <c r="AW116">
        <v>2</v>
      </c>
      <c r="AX116">
        <v>27243395</v>
      </c>
      <c r="AY116">
        <v>2</v>
      </c>
      <c r="AZ116">
        <v>22528</v>
      </c>
      <c r="BA116">
        <v>134</v>
      </c>
      <c r="BB116">
        <v>1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8644.065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1</v>
      </c>
      <c r="BQ116">
        <v>8644.065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1</v>
      </c>
      <c r="CX116">
        <f>Y116*Source!I79</f>
        <v>1.4040000000000001</v>
      </c>
      <c r="CY116">
        <f>AA116</f>
        <v>5762.71</v>
      </c>
      <c r="CZ116">
        <f>AE116</f>
        <v>5762.71</v>
      </c>
      <c r="DA116">
        <f>AI116</f>
        <v>1</v>
      </c>
      <c r="DB116">
        <v>0</v>
      </c>
    </row>
    <row r="117" spans="1:106" ht="12.75">
      <c r="A117">
        <f>ROW(Source!A79)</f>
        <v>79</v>
      </c>
      <c r="B117">
        <v>27243028</v>
      </c>
      <c r="C117">
        <v>27243384</v>
      </c>
      <c r="D117">
        <v>20756276</v>
      </c>
      <c r="E117">
        <v>1</v>
      </c>
      <c r="F117">
        <v>1</v>
      </c>
      <c r="G117">
        <v>1</v>
      </c>
      <c r="H117">
        <v>3</v>
      </c>
      <c r="I117" t="s">
        <v>374</v>
      </c>
      <c r="J117" t="s">
        <v>375</v>
      </c>
      <c r="K117" t="s">
        <v>376</v>
      </c>
      <c r="L117">
        <v>1327</v>
      </c>
      <c r="N117">
        <v>1005</v>
      </c>
      <c r="O117" t="s">
        <v>322</v>
      </c>
      <c r="P117" t="s">
        <v>322</v>
      </c>
      <c r="Q117">
        <v>1</v>
      </c>
      <c r="W117">
        <v>0</v>
      </c>
      <c r="X117">
        <v>-530353638</v>
      </c>
      <c r="Y117">
        <v>106</v>
      </c>
      <c r="AA117">
        <v>203.39</v>
      </c>
      <c r="AB117">
        <v>0</v>
      </c>
      <c r="AC117">
        <v>0</v>
      </c>
      <c r="AD117">
        <v>0</v>
      </c>
      <c r="AE117">
        <v>203.39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1</v>
      </c>
      <c r="AR117">
        <v>0</v>
      </c>
      <c r="AT117">
        <v>106</v>
      </c>
      <c r="AV117">
        <v>0</v>
      </c>
      <c r="AW117">
        <v>2</v>
      </c>
      <c r="AX117">
        <v>27243396</v>
      </c>
      <c r="AY117">
        <v>2</v>
      </c>
      <c r="AZ117">
        <v>22528</v>
      </c>
      <c r="BA117">
        <v>135</v>
      </c>
      <c r="BB117">
        <v>1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21559.34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1</v>
      </c>
      <c r="BQ117">
        <v>21559.34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1</v>
      </c>
      <c r="CX117">
        <f>Y117*Source!I79</f>
        <v>99.21600000000001</v>
      </c>
      <c r="CY117">
        <f>AA117</f>
        <v>203.39</v>
      </c>
      <c r="CZ117">
        <f>AE117</f>
        <v>203.39</v>
      </c>
      <c r="DA117">
        <f>AI117</f>
        <v>1</v>
      </c>
      <c r="DB117">
        <v>0</v>
      </c>
    </row>
    <row r="118" spans="1:106" ht="12.75">
      <c r="A118">
        <f>ROW(Source!A79)</f>
        <v>79</v>
      </c>
      <c r="B118">
        <v>27243028</v>
      </c>
      <c r="C118">
        <v>27243384</v>
      </c>
      <c r="D118">
        <v>20765701</v>
      </c>
      <c r="E118">
        <v>1</v>
      </c>
      <c r="F118">
        <v>1</v>
      </c>
      <c r="G118">
        <v>1</v>
      </c>
      <c r="H118">
        <v>3</v>
      </c>
      <c r="I118" t="s">
        <v>377</v>
      </c>
      <c r="J118" t="s">
        <v>378</v>
      </c>
      <c r="K118" t="s">
        <v>379</v>
      </c>
      <c r="L118">
        <v>1354</v>
      </c>
      <c r="N118">
        <v>1010</v>
      </c>
      <c r="O118" t="s">
        <v>380</v>
      </c>
      <c r="P118" t="s">
        <v>380</v>
      </c>
      <c r="Q118">
        <v>1</v>
      </c>
      <c r="W118">
        <v>0</v>
      </c>
      <c r="X118">
        <v>-212290792</v>
      </c>
      <c r="Y118">
        <v>100</v>
      </c>
      <c r="AA118">
        <v>12</v>
      </c>
      <c r="AB118">
        <v>0</v>
      </c>
      <c r="AC118">
        <v>0</v>
      </c>
      <c r="AD118">
        <v>0</v>
      </c>
      <c r="AE118">
        <v>12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1</v>
      </c>
      <c r="AR118">
        <v>0</v>
      </c>
      <c r="AT118">
        <v>100</v>
      </c>
      <c r="AV118">
        <v>0</v>
      </c>
      <c r="AW118">
        <v>2</v>
      </c>
      <c r="AX118">
        <v>27243397</v>
      </c>
      <c r="AY118">
        <v>2</v>
      </c>
      <c r="AZ118">
        <v>22528</v>
      </c>
      <c r="BA118">
        <v>136</v>
      </c>
      <c r="BB118">
        <v>1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1200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1</v>
      </c>
      <c r="BQ118">
        <v>1200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1</v>
      </c>
      <c r="CX118">
        <f>Y118*Source!I79</f>
        <v>93.60000000000001</v>
      </c>
      <c r="CY118">
        <f>AA118</f>
        <v>12</v>
      </c>
      <c r="CZ118">
        <f>AE118</f>
        <v>12</v>
      </c>
      <c r="DA118">
        <f>AI118</f>
        <v>1</v>
      </c>
      <c r="DB118">
        <v>0</v>
      </c>
    </row>
    <row r="119" spans="1:106" ht="12.75">
      <c r="A119">
        <f>ROW(Source!A80)</f>
        <v>80</v>
      </c>
      <c r="B119">
        <v>27243028</v>
      </c>
      <c r="C119">
        <v>27243398</v>
      </c>
      <c r="D119">
        <v>20812114</v>
      </c>
      <c r="E119">
        <v>1</v>
      </c>
      <c r="F119">
        <v>1</v>
      </c>
      <c r="G119">
        <v>1</v>
      </c>
      <c r="H119">
        <v>1</v>
      </c>
      <c r="I119" t="s">
        <v>429</v>
      </c>
      <c r="K119" t="s">
        <v>430</v>
      </c>
      <c r="L119">
        <v>1369</v>
      </c>
      <c r="N119">
        <v>1013</v>
      </c>
      <c r="O119" t="s">
        <v>258</v>
      </c>
      <c r="P119" t="s">
        <v>258</v>
      </c>
      <c r="Q119">
        <v>1</v>
      </c>
      <c r="W119">
        <v>0</v>
      </c>
      <c r="X119">
        <v>-1867765467</v>
      </c>
      <c r="Y119">
        <v>2.352</v>
      </c>
      <c r="AA119">
        <v>0</v>
      </c>
      <c r="AB119">
        <v>0</v>
      </c>
      <c r="AC119">
        <v>0</v>
      </c>
      <c r="AD119">
        <v>143.95</v>
      </c>
      <c r="AE119">
        <v>0</v>
      </c>
      <c r="AF119">
        <v>0</v>
      </c>
      <c r="AG119">
        <v>0</v>
      </c>
      <c r="AH119">
        <v>143.95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1</v>
      </c>
      <c r="AQ119">
        <v>1</v>
      </c>
      <c r="AR119">
        <v>0</v>
      </c>
      <c r="AT119">
        <v>2.94</v>
      </c>
      <c r="AU119" t="s">
        <v>28</v>
      </c>
      <c r="AV119">
        <v>1</v>
      </c>
      <c r="AW119">
        <v>2</v>
      </c>
      <c r="AX119">
        <v>27243400</v>
      </c>
      <c r="AY119">
        <v>2</v>
      </c>
      <c r="AZ119">
        <v>131072</v>
      </c>
      <c r="BA119">
        <v>137</v>
      </c>
      <c r="BB119">
        <v>1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423.21299999999997</v>
      </c>
      <c r="BN119">
        <v>2.94</v>
      </c>
      <c r="BO119">
        <v>0</v>
      </c>
      <c r="BP119">
        <v>1</v>
      </c>
      <c r="BQ119">
        <v>0</v>
      </c>
      <c r="BR119">
        <v>0</v>
      </c>
      <c r="BS119">
        <v>0</v>
      </c>
      <c r="BT119">
        <v>338.57039999999995</v>
      </c>
      <c r="BU119">
        <v>2.352</v>
      </c>
      <c r="BV119">
        <v>0</v>
      </c>
      <c r="BW119">
        <v>1</v>
      </c>
      <c r="CX119">
        <f>Y119*Source!I80</f>
        <v>9.408</v>
      </c>
      <c r="CY119">
        <f>AD119</f>
        <v>143.95</v>
      </c>
      <c r="CZ119">
        <f>AH119</f>
        <v>143.95</v>
      </c>
      <c r="DA119">
        <f>AL119</f>
        <v>1</v>
      </c>
      <c r="DB119">
        <v>0</v>
      </c>
    </row>
    <row r="120" spans="1:106" ht="12.75">
      <c r="A120">
        <f>ROW(Source!A81)</f>
        <v>81</v>
      </c>
      <c r="B120">
        <v>27243028</v>
      </c>
      <c r="C120">
        <v>27243409</v>
      </c>
      <c r="D120">
        <v>20812114</v>
      </c>
      <c r="E120">
        <v>1</v>
      </c>
      <c r="F120">
        <v>1</v>
      </c>
      <c r="G120">
        <v>1</v>
      </c>
      <c r="H120">
        <v>1</v>
      </c>
      <c r="I120" t="s">
        <v>429</v>
      </c>
      <c r="K120" t="s">
        <v>430</v>
      </c>
      <c r="L120">
        <v>1369</v>
      </c>
      <c r="N120">
        <v>1013</v>
      </c>
      <c r="O120" t="s">
        <v>258</v>
      </c>
      <c r="P120" t="s">
        <v>258</v>
      </c>
      <c r="Q120">
        <v>1</v>
      </c>
      <c r="W120">
        <v>0</v>
      </c>
      <c r="X120">
        <v>-1867765467</v>
      </c>
      <c r="Y120">
        <v>3.381</v>
      </c>
      <c r="AA120">
        <v>0</v>
      </c>
      <c r="AB120">
        <v>0</v>
      </c>
      <c r="AC120">
        <v>0</v>
      </c>
      <c r="AD120">
        <v>143.95</v>
      </c>
      <c r="AE120">
        <v>0</v>
      </c>
      <c r="AF120">
        <v>0</v>
      </c>
      <c r="AG120">
        <v>0</v>
      </c>
      <c r="AH120">
        <v>143.95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1</v>
      </c>
      <c r="AQ120">
        <v>1</v>
      </c>
      <c r="AR120">
        <v>0</v>
      </c>
      <c r="AT120">
        <v>2.94</v>
      </c>
      <c r="AU120" t="s">
        <v>39</v>
      </c>
      <c r="AV120">
        <v>1</v>
      </c>
      <c r="AW120">
        <v>2</v>
      </c>
      <c r="AX120">
        <v>27243414</v>
      </c>
      <c r="AY120">
        <v>2</v>
      </c>
      <c r="AZ120">
        <v>131072</v>
      </c>
      <c r="BA120">
        <v>146</v>
      </c>
      <c r="BB120">
        <v>1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423.21299999999997</v>
      </c>
      <c r="BN120">
        <v>2.94</v>
      </c>
      <c r="BO120">
        <v>0</v>
      </c>
      <c r="BP120">
        <v>1</v>
      </c>
      <c r="BQ120">
        <v>0</v>
      </c>
      <c r="BR120">
        <v>0</v>
      </c>
      <c r="BS120">
        <v>0</v>
      </c>
      <c r="BT120">
        <v>486.69494999999995</v>
      </c>
      <c r="BU120">
        <v>3.381</v>
      </c>
      <c r="BV120">
        <v>0</v>
      </c>
      <c r="BW120">
        <v>1</v>
      </c>
      <c r="CX120">
        <f>Y120*Source!I81</f>
        <v>13.524</v>
      </c>
      <c r="CY120">
        <f>AD120</f>
        <v>143.95</v>
      </c>
      <c r="CZ120">
        <f>AH120</f>
        <v>143.95</v>
      </c>
      <c r="DA120">
        <f>AL120</f>
        <v>1</v>
      </c>
      <c r="DB120">
        <v>0</v>
      </c>
    </row>
    <row r="121" spans="1:106" ht="12.75">
      <c r="A121">
        <f>ROW(Source!A81)</f>
        <v>81</v>
      </c>
      <c r="B121">
        <v>27243028</v>
      </c>
      <c r="C121">
        <v>27243409</v>
      </c>
      <c r="D121">
        <v>121548</v>
      </c>
      <c r="E121">
        <v>1</v>
      </c>
      <c r="F121">
        <v>1</v>
      </c>
      <c r="G121">
        <v>1</v>
      </c>
      <c r="H121">
        <v>1</v>
      </c>
      <c r="I121" t="s">
        <v>23</v>
      </c>
      <c r="K121" t="s">
        <v>276</v>
      </c>
      <c r="L121">
        <v>608254</v>
      </c>
      <c r="N121">
        <v>1013</v>
      </c>
      <c r="O121" t="s">
        <v>277</v>
      </c>
      <c r="P121" t="s">
        <v>277</v>
      </c>
      <c r="Q121">
        <v>1</v>
      </c>
      <c r="W121">
        <v>0</v>
      </c>
      <c r="X121">
        <v>-185737400</v>
      </c>
      <c r="Y121">
        <v>0.0125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1</v>
      </c>
      <c r="AR121">
        <v>0</v>
      </c>
      <c r="AT121">
        <v>0.01</v>
      </c>
      <c r="AU121" t="s">
        <v>38</v>
      </c>
      <c r="AV121">
        <v>2</v>
      </c>
      <c r="AW121">
        <v>2</v>
      </c>
      <c r="AX121">
        <v>27243415</v>
      </c>
      <c r="AY121">
        <v>1</v>
      </c>
      <c r="AZ121">
        <v>0</v>
      </c>
      <c r="BA121">
        <v>147</v>
      </c>
      <c r="BB121">
        <v>1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0.01</v>
      </c>
      <c r="BP121">
        <v>1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0.0125</v>
      </c>
      <c r="BW121">
        <v>1</v>
      </c>
      <c r="CX121">
        <f>Y121*Source!I81</f>
        <v>0.05</v>
      </c>
      <c r="CY121">
        <f>AD121</f>
        <v>0</v>
      </c>
      <c r="CZ121">
        <f>AH121</f>
        <v>0</v>
      </c>
      <c r="DA121">
        <f>AL121</f>
        <v>1</v>
      </c>
      <c r="DB121">
        <v>0</v>
      </c>
    </row>
    <row r="122" spans="1:106" ht="12.75">
      <c r="A122">
        <f>ROW(Source!A81)</f>
        <v>81</v>
      </c>
      <c r="B122">
        <v>27243028</v>
      </c>
      <c r="C122">
        <v>27243409</v>
      </c>
      <c r="D122">
        <v>20802610</v>
      </c>
      <c r="E122">
        <v>1</v>
      </c>
      <c r="F122">
        <v>1</v>
      </c>
      <c r="G122">
        <v>1</v>
      </c>
      <c r="H122">
        <v>2</v>
      </c>
      <c r="I122" t="s">
        <v>336</v>
      </c>
      <c r="J122" t="s">
        <v>382</v>
      </c>
      <c r="K122" t="s">
        <v>338</v>
      </c>
      <c r="L122">
        <v>1368</v>
      </c>
      <c r="N122">
        <v>1011</v>
      </c>
      <c r="O122" t="s">
        <v>262</v>
      </c>
      <c r="P122" t="s">
        <v>262</v>
      </c>
      <c r="Q122">
        <v>1</v>
      </c>
      <c r="W122">
        <v>0</v>
      </c>
      <c r="X122">
        <v>1153092599</v>
      </c>
      <c r="Y122">
        <v>0.0125</v>
      </c>
      <c r="AA122">
        <v>0</v>
      </c>
      <c r="AB122">
        <v>849.15</v>
      </c>
      <c r="AC122">
        <v>0</v>
      </c>
      <c r="AD122">
        <v>0</v>
      </c>
      <c r="AE122">
        <v>0</v>
      </c>
      <c r="AF122">
        <v>849.15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1</v>
      </c>
      <c r="AQ122">
        <v>1</v>
      </c>
      <c r="AR122">
        <v>0</v>
      </c>
      <c r="AT122">
        <v>0.01</v>
      </c>
      <c r="AU122" t="s">
        <v>38</v>
      </c>
      <c r="AV122">
        <v>0</v>
      </c>
      <c r="AW122">
        <v>2</v>
      </c>
      <c r="AX122">
        <v>27243416</v>
      </c>
      <c r="AY122">
        <v>2</v>
      </c>
      <c r="AZ122">
        <v>98304</v>
      </c>
      <c r="BA122">
        <v>148</v>
      </c>
      <c r="BB122">
        <v>1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8.4915</v>
      </c>
      <c r="BL122">
        <v>0</v>
      </c>
      <c r="BM122">
        <v>0</v>
      </c>
      <c r="BN122">
        <v>0</v>
      </c>
      <c r="BO122">
        <v>0</v>
      </c>
      <c r="BP122">
        <v>1</v>
      </c>
      <c r="BQ122">
        <v>0</v>
      </c>
      <c r="BR122">
        <v>10.614375</v>
      </c>
      <c r="BS122">
        <v>0</v>
      </c>
      <c r="BT122">
        <v>0</v>
      </c>
      <c r="BU122">
        <v>0</v>
      </c>
      <c r="BV122">
        <v>0</v>
      </c>
      <c r="BW122">
        <v>1</v>
      </c>
      <c r="CX122">
        <f>Y122*Source!I81</f>
        <v>0.05</v>
      </c>
      <c r="CY122">
        <f>AB122</f>
        <v>849.15</v>
      </c>
      <c r="CZ122">
        <f>AF122</f>
        <v>849.15</v>
      </c>
      <c r="DA122">
        <f>AJ122</f>
        <v>1</v>
      </c>
      <c r="DB122">
        <v>0</v>
      </c>
    </row>
    <row r="123" spans="1:106" ht="12.75">
      <c r="A123">
        <f>ROW(Source!A81)</f>
        <v>81</v>
      </c>
      <c r="B123">
        <v>27243028</v>
      </c>
      <c r="C123">
        <v>27243409</v>
      </c>
      <c r="D123">
        <v>20774059</v>
      </c>
      <c r="E123">
        <v>1</v>
      </c>
      <c r="F123">
        <v>1</v>
      </c>
      <c r="G123">
        <v>1</v>
      </c>
      <c r="H123">
        <v>3</v>
      </c>
      <c r="I123" t="s">
        <v>431</v>
      </c>
      <c r="J123" t="s">
        <v>432</v>
      </c>
      <c r="K123" t="s">
        <v>433</v>
      </c>
      <c r="L123">
        <v>1354</v>
      </c>
      <c r="N123">
        <v>1010</v>
      </c>
      <c r="O123" t="s">
        <v>380</v>
      </c>
      <c r="P123" t="s">
        <v>380</v>
      </c>
      <c r="Q123">
        <v>1</v>
      </c>
      <c r="W123">
        <v>0</v>
      </c>
      <c r="X123">
        <v>-1170692623</v>
      </c>
      <c r="Y123">
        <v>1</v>
      </c>
      <c r="AA123">
        <v>2457.63</v>
      </c>
      <c r="AB123">
        <v>0</v>
      </c>
      <c r="AC123">
        <v>0</v>
      </c>
      <c r="AD123">
        <v>0</v>
      </c>
      <c r="AE123">
        <v>2457.63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1</v>
      </c>
      <c r="AR123">
        <v>0</v>
      </c>
      <c r="AT123">
        <v>1</v>
      </c>
      <c r="AV123">
        <v>0</v>
      </c>
      <c r="AW123">
        <v>2</v>
      </c>
      <c r="AX123">
        <v>27243422</v>
      </c>
      <c r="AY123">
        <v>2</v>
      </c>
      <c r="AZ123">
        <v>16384</v>
      </c>
      <c r="BA123">
        <v>154</v>
      </c>
      <c r="BB123">
        <v>1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2457.63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1</v>
      </c>
      <c r="BQ123">
        <v>2457.63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</v>
      </c>
      <c r="CX123">
        <f>Y123*Source!I81</f>
        <v>4</v>
      </c>
      <c r="CY123">
        <f>AA123</f>
        <v>2457.63</v>
      </c>
      <c r="CZ123">
        <f>AE123</f>
        <v>2457.63</v>
      </c>
      <c r="DA123">
        <f>AI123</f>
        <v>1</v>
      </c>
      <c r="DB123">
        <v>0</v>
      </c>
    </row>
    <row r="124" spans="1:106" ht="12.75">
      <c r="A124">
        <f>ROW(Source!A82)</f>
        <v>82</v>
      </c>
      <c r="B124">
        <v>27243028</v>
      </c>
      <c r="C124">
        <v>27243423</v>
      </c>
      <c r="D124">
        <v>20812658</v>
      </c>
      <c r="E124">
        <v>1</v>
      </c>
      <c r="F124">
        <v>1</v>
      </c>
      <c r="G124">
        <v>1</v>
      </c>
      <c r="H124">
        <v>1</v>
      </c>
      <c r="I124" t="s">
        <v>381</v>
      </c>
      <c r="K124" t="s">
        <v>330</v>
      </c>
      <c r="L124">
        <v>1369</v>
      </c>
      <c r="N124">
        <v>1013</v>
      </c>
      <c r="O124" t="s">
        <v>258</v>
      </c>
      <c r="P124" t="s">
        <v>258</v>
      </c>
      <c r="Q124">
        <v>1</v>
      </c>
      <c r="W124">
        <v>0</v>
      </c>
      <c r="X124">
        <v>-1376538585</v>
      </c>
      <c r="Y124">
        <v>70.83999999999999</v>
      </c>
      <c r="AA124">
        <v>0</v>
      </c>
      <c r="AB124">
        <v>0</v>
      </c>
      <c r="AC124">
        <v>0</v>
      </c>
      <c r="AD124">
        <v>132.29</v>
      </c>
      <c r="AE124">
        <v>0</v>
      </c>
      <c r="AF124">
        <v>0</v>
      </c>
      <c r="AG124">
        <v>0</v>
      </c>
      <c r="AH124">
        <v>132.29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1</v>
      </c>
      <c r="AR124">
        <v>0</v>
      </c>
      <c r="AT124">
        <v>61.6</v>
      </c>
      <c r="AU124" t="s">
        <v>39</v>
      </c>
      <c r="AV124">
        <v>1</v>
      </c>
      <c r="AW124">
        <v>2</v>
      </c>
      <c r="AX124">
        <v>27243446</v>
      </c>
      <c r="AY124">
        <v>2</v>
      </c>
      <c r="AZ124">
        <v>131072</v>
      </c>
      <c r="BA124">
        <v>155</v>
      </c>
      <c r="BB124">
        <v>1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8149.063999999999</v>
      </c>
      <c r="BN124">
        <v>61.6</v>
      </c>
      <c r="BO124">
        <v>0</v>
      </c>
      <c r="BP124">
        <v>1</v>
      </c>
      <c r="BQ124">
        <v>0</v>
      </c>
      <c r="BR124">
        <v>0</v>
      </c>
      <c r="BS124">
        <v>0</v>
      </c>
      <c r="BT124">
        <v>9371.423599999998</v>
      </c>
      <c r="BU124">
        <v>70.83999999999999</v>
      </c>
      <c r="BV124">
        <v>0</v>
      </c>
      <c r="BW124">
        <v>1</v>
      </c>
      <c r="CX124">
        <f>Y124*Source!I82</f>
        <v>1890.0111999999997</v>
      </c>
      <c r="CY124">
        <f>AD124</f>
        <v>132.29</v>
      </c>
      <c r="CZ124">
        <f>AH124</f>
        <v>132.29</v>
      </c>
      <c r="DA124">
        <f>AL124</f>
        <v>1</v>
      </c>
      <c r="DB124">
        <v>0</v>
      </c>
    </row>
    <row r="125" spans="1:106" ht="12.75">
      <c r="A125">
        <f>ROW(Source!A82)</f>
        <v>82</v>
      </c>
      <c r="B125">
        <v>27243028</v>
      </c>
      <c r="C125">
        <v>27243423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23</v>
      </c>
      <c r="K125" t="s">
        <v>276</v>
      </c>
      <c r="L125">
        <v>608254</v>
      </c>
      <c r="N125">
        <v>1013</v>
      </c>
      <c r="O125" t="s">
        <v>277</v>
      </c>
      <c r="P125" t="s">
        <v>277</v>
      </c>
      <c r="Q125">
        <v>1</v>
      </c>
      <c r="W125">
        <v>0</v>
      </c>
      <c r="X125">
        <v>-185737400</v>
      </c>
      <c r="Y125">
        <v>0.125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1</v>
      </c>
      <c r="AQ125">
        <v>1</v>
      </c>
      <c r="AR125">
        <v>0</v>
      </c>
      <c r="AT125">
        <v>0.1</v>
      </c>
      <c r="AU125" t="s">
        <v>38</v>
      </c>
      <c r="AV125">
        <v>2</v>
      </c>
      <c r="AW125">
        <v>2</v>
      </c>
      <c r="AX125">
        <v>27243447</v>
      </c>
      <c r="AY125">
        <v>1</v>
      </c>
      <c r="AZ125">
        <v>0</v>
      </c>
      <c r="BA125">
        <v>156</v>
      </c>
      <c r="BB125">
        <v>1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0.1</v>
      </c>
      <c r="BP125">
        <v>1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0.125</v>
      </c>
      <c r="BW125">
        <v>1</v>
      </c>
      <c r="CX125">
        <f>Y125*Source!I82</f>
        <v>3.335</v>
      </c>
      <c r="CY125">
        <f>AD125</f>
        <v>0</v>
      </c>
      <c r="CZ125">
        <f>AH125</f>
        <v>0</v>
      </c>
      <c r="DA125">
        <f>AL125</f>
        <v>1</v>
      </c>
      <c r="DB125">
        <v>0</v>
      </c>
    </row>
    <row r="126" spans="1:106" ht="12.75">
      <c r="A126">
        <f>ROW(Source!A82)</f>
        <v>82</v>
      </c>
      <c r="B126">
        <v>27243028</v>
      </c>
      <c r="C126">
        <v>27243423</v>
      </c>
      <c r="D126">
        <v>20802610</v>
      </c>
      <c r="E126">
        <v>1</v>
      </c>
      <c r="F126">
        <v>1</v>
      </c>
      <c r="G126">
        <v>1</v>
      </c>
      <c r="H126">
        <v>2</v>
      </c>
      <c r="I126" t="s">
        <v>336</v>
      </c>
      <c r="J126" t="s">
        <v>382</v>
      </c>
      <c r="K126" t="s">
        <v>338</v>
      </c>
      <c r="L126">
        <v>1368</v>
      </c>
      <c r="N126">
        <v>1011</v>
      </c>
      <c r="O126" t="s">
        <v>262</v>
      </c>
      <c r="P126" t="s">
        <v>262</v>
      </c>
      <c r="Q126">
        <v>1</v>
      </c>
      <c r="W126">
        <v>0</v>
      </c>
      <c r="X126">
        <v>1153092599</v>
      </c>
      <c r="Y126">
        <v>0.08750000000000001</v>
      </c>
      <c r="AA126">
        <v>0</v>
      </c>
      <c r="AB126">
        <v>849.15</v>
      </c>
      <c r="AC126">
        <v>0</v>
      </c>
      <c r="AD126">
        <v>0</v>
      </c>
      <c r="AE126">
        <v>0</v>
      </c>
      <c r="AF126">
        <v>849.15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1</v>
      </c>
      <c r="AQ126">
        <v>1</v>
      </c>
      <c r="AR126">
        <v>0</v>
      </c>
      <c r="AT126">
        <v>0.07</v>
      </c>
      <c r="AU126" t="s">
        <v>38</v>
      </c>
      <c r="AV126">
        <v>0</v>
      </c>
      <c r="AW126">
        <v>2</v>
      </c>
      <c r="AX126">
        <v>27243448</v>
      </c>
      <c r="AY126">
        <v>2</v>
      </c>
      <c r="AZ126">
        <v>98304</v>
      </c>
      <c r="BA126">
        <v>157</v>
      </c>
      <c r="BB126">
        <v>1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59.44050000000001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0</v>
      </c>
      <c r="BR126">
        <v>74.30062500000001</v>
      </c>
      <c r="BS126">
        <v>0</v>
      </c>
      <c r="BT126">
        <v>0</v>
      </c>
      <c r="BU126">
        <v>0</v>
      </c>
      <c r="BV126">
        <v>0</v>
      </c>
      <c r="BW126">
        <v>1</v>
      </c>
      <c r="CX126">
        <f>Y126*Source!I82</f>
        <v>2.3345000000000002</v>
      </c>
      <c r="CY126">
        <f aca="true" t="shared" si="18" ref="CY126:CY133">AB126</f>
        <v>849.15</v>
      </c>
      <c r="CZ126">
        <f aca="true" t="shared" si="19" ref="CZ126:CZ133">AF126</f>
        <v>849.15</v>
      </c>
      <c r="DA126">
        <f aca="true" t="shared" si="20" ref="DA126:DA133">AJ126</f>
        <v>1</v>
      </c>
      <c r="DB126">
        <v>0</v>
      </c>
    </row>
    <row r="127" spans="1:106" ht="12.75">
      <c r="A127">
        <f>ROW(Source!A82)</f>
        <v>82</v>
      </c>
      <c r="B127">
        <v>27243028</v>
      </c>
      <c r="C127">
        <v>27243423</v>
      </c>
      <c r="D127">
        <v>0</v>
      </c>
      <c r="E127">
        <v>0</v>
      </c>
      <c r="F127">
        <v>1</v>
      </c>
      <c r="G127">
        <v>1</v>
      </c>
      <c r="H127">
        <v>2</v>
      </c>
      <c r="I127" t="s">
        <v>281</v>
      </c>
      <c r="K127" t="s">
        <v>383</v>
      </c>
      <c r="L127">
        <v>1367</v>
      </c>
      <c r="N127">
        <v>1011</v>
      </c>
      <c r="O127" t="s">
        <v>369</v>
      </c>
      <c r="P127" t="s">
        <v>369</v>
      </c>
      <c r="Q127">
        <v>1</v>
      </c>
      <c r="W127">
        <v>0</v>
      </c>
      <c r="X127">
        <v>1711972554</v>
      </c>
      <c r="Y127">
        <v>0.0375</v>
      </c>
      <c r="AA127">
        <v>0</v>
      </c>
      <c r="AB127">
        <v>636.03</v>
      </c>
      <c r="AC127">
        <v>0</v>
      </c>
      <c r="AD127">
        <v>0</v>
      </c>
      <c r="AE127">
        <v>0</v>
      </c>
      <c r="AF127">
        <v>636.03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2</v>
      </c>
      <c r="AQ127">
        <v>1</v>
      </c>
      <c r="AR127">
        <v>0</v>
      </c>
      <c r="AT127">
        <v>0.03</v>
      </c>
      <c r="AU127" t="s">
        <v>38</v>
      </c>
      <c r="AV127">
        <v>0</v>
      </c>
      <c r="AW127">
        <v>2</v>
      </c>
      <c r="AX127">
        <v>27243449</v>
      </c>
      <c r="AY127">
        <v>2</v>
      </c>
      <c r="AZ127">
        <v>98304</v>
      </c>
      <c r="BA127">
        <v>158</v>
      </c>
      <c r="BB127">
        <v>1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19.0809</v>
      </c>
      <c r="BL127">
        <v>0</v>
      </c>
      <c r="BM127">
        <v>0</v>
      </c>
      <c r="BN127">
        <v>0</v>
      </c>
      <c r="BO127">
        <v>0</v>
      </c>
      <c r="BP127">
        <v>1</v>
      </c>
      <c r="BQ127">
        <v>0</v>
      </c>
      <c r="BR127">
        <v>23.851125</v>
      </c>
      <c r="BS127">
        <v>0</v>
      </c>
      <c r="BT127">
        <v>0</v>
      </c>
      <c r="BU127">
        <v>0</v>
      </c>
      <c r="BV127">
        <v>0</v>
      </c>
      <c r="BW127">
        <v>1</v>
      </c>
      <c r="CX127">
        <f>Y127*Source!I82</f>
        <v>1.0005</v>
      </c>
      <c r="CY127">
        <f t="shared" si="18"/>
        <v>636.03</v>
      </c>
      <c r="CZ127">
        <f t="shared" si="19"/>
        <v>636.03</v>
      </c>
      <c r="DA127">
        <f t="shared" si="20"/>
        <v>1</v>
      </c>
      <c r="DB127">
        <v>0</v>
      </c>
    </row>
    <row r="128" spans="1:106" ht="12.75">
      <c r="A128">
        <f>ROW(Source!A82)</f>
        <v>82</v>
      </c>
      <c r="B128">
        <v>27243028</v>
      </c>
      <c r="C128">
        <v>27243423</v>
      </c>
      <c r="D128">
        <v>0</v>
      </c>
      <c r="E128">
        <v>0</v>
      </c>
      <c r="F128">
        <v>1</v>
      </c>
      <c r="G128">
        <v>1</v>
      </c>
      <c r="H128">
        <v>2</v>
      </c>
      <c r="I128" t="s">
        <v>384</v>
      </c>
      <c r="K128" t="s">
        <v>385</v>
      </c>
      <c r="L128">
        <v>1367</v>
      </c>
      <c r="N128">
        <v>1011</v>
      </c>
      <c r="O128" t="s">
        <v>369</v>
      </c>
      <c r="P128" t="s">
        <v>369</v>
      </c>
      <c r="Q128">
        <v>1</v>
      </c>
      <c r="W128">
        <v>0</v>
      </c>
      <c r="X128">
        <v>-1925698232</v>
      </c>
      <c r="Y128">
        <v>2</v>
      </c>
      <c r="AA128">
        <v>0</v>
      </c>
      <c r="AB128">
        <v>12.61</v>
      </c>
      <c r="AC128">
        <v>0</v>
      </c>
      <c r="AD128">
        <v>0</v>
      </c>
      <c r="AE128">
        <v>0</v>
      </c>
      <c r="AF128">
        <v>12.61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2</v>
      </c>
      <c r="AQ128">
        <v>1</v>
      </c>
      <c r="AR128">
        <v>0</v>
      </c>
      <c r="AT128">
        <v>1.6</v>
      </c>
      <c r="AU128" t="s">
        <v>38</v>
      </c>
      <c r="AV128">
        <v>0</v>
      </c>
      <c r="AW128">
        <v>2</v>
      </c>
      <c r="AX128">
        <v>27243450</v>
      </c>
      <c r="AY128">
        <v>2</v>
      </c>
      <c r="AZ128">
        <v>32768</v>
      </c>
      <c r="BA128">
        <v>159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20.176000000000002</v>
      </c>
      <c r="BL128">
        <v>0</v>
      </c>
      <c r="BM128">
        <v>0</v>
      </c>
      <c r="BN128">
        <v>0</v>
      </c>
      <c r="BO128">
        <v>0</v>
      </c>
      <c r="BP128">
        <v>1</v>
      </c>
      <c r="BQ128">
        <v>0</v>
      </c>
      <c r="BR128">
        <v>25.22</v>
      </c>
      <c r="BS128">
        <v>0</v>
      </c>
      <c r="BT128">
        <v>0</v>
      </c>
      <c r="BU128">
        <v>0</v>
      </c>
      <c r="BV128">
        <v>0</v>
      </c>
      <c r="BW128">
        <v>1</v>
      </c>
      <c r="CX128">
        <f>Y128*Source!I82</f>
        <v>53.36</v>
      </c>
      <c r="CY128">
        <f t="shared" si="18"/>
        <v>12.61</v>
      </c>
      <c r="CZ128">
        <f t="shared" si="19"/>
        <v>12.61</v>
      </c>
      <c r="DA128">
        <f t="shared" si="20"/>
        <v>1</v>
      </c>
      <c r="DB128">
        <v>0</v>
      </c>
    </row>
    <row r="129" spans="1:106" ht="12.75">
      <c r="A129">
        <f>ROW(Source!A82)</f>
        <v>82</v>
      </c>
      <c r="B129">
        <v>27243028</v>
      </c>
      <c r="C129">
        <v>27243423</v>
      </c>
      <c r="D129">
        <v>20804182</v>
      </c>
      <c r="E129">
        <v>1</v>
      </c>
      <c r="F129">
        <v>1</v>
      </c>
      <c r="G129">
        <v>1</v>
      </c>
      <c r="H129">
        <v>2</v>
      </c>
      <c r="I129" t="s">
        <v>265</v>
      </c>
      <c r="J129" t="s">
        <v>386</v>
      </c>
      <c r="K129" t="s">
        <v>267</v>
      </c>
      <c r="L129">
        <v>1368</v>
      </c>
      <c r="N129">
        <v>1011</v>
      </c>
      <c r="O129" t="s">
        <v>262</v>
      </c>
      <c r="P129" t="s">
        <v>262</v>
      </c>
      <c r="Q129">
        <v>1</v>
      </c>
      <c r="W129">
        <v>0</v>
      </c>
      <c r="X129">
        <v>1059265300</v>
      </c>
      <c r="Y129">
        <v>10.125</v>
      </c>
      <c r="AA129">
        <v>0</v>
      </c>
      <c r="AB129">
        <v>7.94</v>
      </c>
      <c r="AC129">
        <v>0</v>
      </c>
      <c r="AD129">
        <v>0</v>
      </c>
      <c r="AE129">
        <v>0</v>
      </c>
      <c r="AF129">
        <v>7.94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1</v>
      </c>
      <c r="AR129">
        <v>0</v>
      </c>
      <c r="AT129">
        <v>8.1</v>
      </c>
      <c r="AU129" t="s">
        <v>38</v>
      </c>
      <c r="AV129">
        <v>0</v>
      </c>
      <c r="AW129">
        <v>2</v>
      </c>
      <c r="AX129">
        <v>27243451</v>
      </c>
      <c r="AY129">
        <v>2</v>
      </c>
      <c r="AZ129">
        <v>32768</v>
      </c>
      <c r="BA129">
        <v>160</v>
      </c>
      <c r="BB129">
        <v>1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64.31400000000001</v>
      </c>
      <c r="BL129">
        <v>0</v>
      </c>
      <c r="BM129">
        <v>0</v>
      </c>
      <c r="BN129">
        <v>0</v>
      </c>
      <c r="BO129">
        <v>0</v>
      </c>
      <c r="BP129">
        <v>1</v>
      </c>
      <c r="BQ129">
        <v>0</v>
      </c>
      <c r="BR129">
        <v>80.3925</v>
      </c>
      <c r="BS129">
        <v>0</v>
      </c>
      <c r="BT129">
        <v>0</v>
      </c>
      <c r="BU129">
        <v>0</v>
      </c>
      <c r="BV129">
        <v>0</v>
      </c>
      <c r="BW129">
        <v>1</v>
      </c>
      <c r="CX129">
        <f>Y129*Source!I82</f>
        <v>270.135</v>
      </c>
      <c r="CY129">
        <f t="shared" si="18"/>
        <v>7.94</v>
      </c>
      <c r="CZ129">
        <f t="shared" si="19"/>
        <v>7.94</v>
      </c>
      <c r="DA129">
        <f t="shared" si="20"/>
        <v>1</v>
      </c>
      <c r="DB129">
        <v>0</v>
      </c>
    </row>
    <row r="130" spans="1:106" ht="12.75">
      <c r="A130">
        <f>ROW(Source!A82)</f>
        <v>82</v>
      </c>
      <c r="B130">
        <v>27243028</v>
      </c>
      <c r="C130">
        <v>27243423</v>
      </c>
      <c r="D130">
        <v>20804209</v>
      </c>
      <c r="E130">
        <v>1</v>
      </c>
      <c r="F130">
        <v>1</v>
      </c>
      <c r="G130">
        <v>1</v>
      </c>
      <c r="H130">
        <v>2</v>
      </c>
      <c r="I130" t="s">
        <v>387</v>
      </c>
      <c r="J130" t="s">
        <v>388</v>
      </c>
      <c r="K130" t="s">
        <v>389</v>
      </c>
      <c r="L130">
        <v>1368</v>
      </c>
      <c r="N130">
        <v>1011</v>
      </c>
      <c r="O130" t="s">
        <v>262</v>
      </c>
      <c r="P130" t="s">
        <v>262</v>
      </c>
      <c r="Q130">
        <v>1</v>
      </c>
      <c r="W130">
        <v>0</v>
      </c>
      <c r="X130">
        <v>-1626360890</v>
      </c>
      <c r="Y130">
        <v>1.2875</v>
      </c>
      <c r="AA130">
        <v>0</v>
      </c>
      <c r="AB130">
        <v>10.87</v>
      </c>
      <c r="AC130">
        <v>0</v>
      </c>
      <c r="AD130">
        <v>0</v>
      </c>
      <c r="AE130">
        <v>0</v>
      </c>
      <c r="AF130">
        <v>10.87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1</v>
      </c>
      <c r="AR130">
        <v>0</v>
      </c>
      <c r="AT130">
        <v>1.03</v>
      </c>
      <c r="AU130" t="s">
        <v>38</v>
      </c>
      <c r="AV130">
        <v>0</v>
      </c>
      <c r="AW130">
        <v>2</v>
      </c>
      <c r="AX130">
        <v>27243452</v>
      </c>
      <c r="AY130">
        <v>2</v>
      </c>
      <c r="AZ130">
        <v>32768</v>
      </c>
      <c r="BA130">
        <v>161</v>
      </c>
      <c r="BB130">
        <v>1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11.1961</v>
      </c>
      <c r="BL130">
        <v>0</v>
      </c>
      <c r="BM130">
        <v>0</v>
      </c>
      <c r="BN130">
        <v>0</v>
      </c>
      <c r="BO130">
        <v>0</v>
      </c>
      <c r="BP130">
        <v>1</v>
      </c>
      <c r="BQ130">
        <v>0</v>
      </c>
      <c r="BR130">
        <v>13.995125</v>
      </c>
      <c r="BS130">
        <v>0</v>
      </c>
      <c r="BT130">
        <v>0</v>
      </c>
      <c r="BU130">
        <v>0</v>
      </c>
      <c r="BV130">
        <v>0</v>
      </c>
      <c r="BW130">
        <v>1</v>
      </c>
      <c r="CX130">
        <f>Y130*Source!I82</f>
        <v>34.350500000000004</v>
      </c>
      <c r="CY130">
        <f t="shared" si="18"/>
        <v>10.87</v>
      </c>
      <c r="CZ130">
        <f t="shared" si="19"/>
        <v>10.87</v>
      </c>
      <c r="DA130">
        <f t="shared" si="20"/>
        <v>1</v>
      </c>
      <c r="DB130">
        <v>0</v>
      </c>
    </row>
    <row r="131" spans="1:106" ht="12.75">
      <c r="A131">
        <f>ROW(Source!A82)</f>
        <v>82</v>
      </c>
      <c r="B131">
        <v>27243028</v>
      </c>
      <c r="C131">
        <v>27243423</v>
      </c>
      <c r="D131">
        <v>20804243</v>
      </c>
      <c r="E131">
        <v>1</v>
      </c>
      <c r="F131">
        <v>1</v>
      </c>
      <c r="G131">
        <v>1</v>
      </c>
      <c r="H131">
        <v>2</v>
      </c>
      <c r="I131" t="s">
        <v>390</v>
      </c>
      <c r="J131" t="s">
        <v>391</v>
      </c>
      <c r="K131" t="s">
        <v>392</v>
      </c>
      <c r="L131">
        <v>1368</v>
      </c>
      <c r="N131">
        <v>1011</v>
      </c>
      <c r="O131" t="s">
        <v>262</v>
      </c>
      <c r="P131" t="s">
        <v>262</v>
      </c>
      <c r="Q131">
        <v>1</v>
      </c>
      <c r="W131">
        <v>0</v>
      </c>
      <c r="X131">
        <v>-1182831257</v>
      </c>
      <c r="Y131">
        <v>24.25</v>
      </c>
      <c r="AA131">
        <v>0</v>
      </c>
      <c r="AB131">
        <v>8.79</v>
      </c>
      <c r="AC131">
        <v>0</v>
      </c>
      <c r="AD131">
        <v>0</v>
      </c>
      <c r="AE131">
        <v>0</v>
      </c>
      <c r="AF131">
        <v>8.79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1</v>
      </c>
      <c r="AR131">
        <v>0</v>
      </c>
      <c r="AT131">
        <v>19.4</v>
      </c>
      <c r="AU131" t="s">
        <v>38</v>
      </c>
      <c r="AV131">
        <v>0</v>
      </c>
      <c r="AW131">
        <v>2</v>
      </c>
      <c r="AX131">
        <v>27243453</v>
      </c>
      <c r="AY131">
        <v>2</v>
      </c>
      <c r="AZ131">
        <v>32768</v>
      </c>
      <c r="BA131">
        <v>162</v>
      </c>
      <c r="BB131">
        <v>1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170.52599999999998</v>
      </c>
      <c r="BL131">
        <v>0</v>
      </c>
      <c r="BM131">
        <v>0</v>
      </c>
      <c r="BN131">
        <v>0</v>
      </c>
      <c r="BO131">
        <v>0</v>
      </c>
      <c r="BP131">
        <v>1</v>
      </c>
      <c r="BQ131">
        <v>0</v>
      </c>
      <c r="BR131">
        <v>213.15749999999997</v>
      </c>
      <c r="BS131">
        <v>0</v>
      </c>
      <c r="BT131">
        <v>0</v>
      </c>
      <c r="BU131">
        <v>0</v>
      </c>
      <c r="BV131">
        <v>0</v>
      </c>
      <c r="BW131">
        <v>1</v>
      </c>
      <c r="CX131">
        <f>Y131*Source!I82</f>
        <v>646.99</v>
      </c>
      <c r="CY131">
        <f t="shared" si="18"/>
        <v>8.79</v>
      </c>
      <c r="CZ131">
        <f t="shared" si="19"/>
        <v>8.79</v>
      </c>
      <c r="DA131">
        <f t="shared" si="20"/>
        <v>1</v>
      </c>
      <c r="DB131">
        <v>0</v>
      </c>
    </row>
    <row r="132" spans="1:106" ht="12.75">
      <c r="A132">
        <f>ROW(Source!A82)</f>
        <v>82</v>
      </c>
      <c r="B132">
        <v>27243028</v>
      </c>
      <c r="C132">
        <v>27243423</v>
      </c>
      <c r="D132">
        <v>0</v>
      </c>
      <c r="E132">
        <v>0</v>
      </c>
      <c r="F132">
        <v>1</v>
      </c>
      <c r="G132">
        <v>1</v>
      </c>
      <c r="H132">
        <v>2</v>
      </c>
      <c r="I132" t="s">
        <v>393</v>
      </c>
      <c r="K132" t="s">
        <v>394</v>
      </c>
      <c r="L132">
        <v>1367</v>
      </c>
      <c r="N132">
        <v>1011</v>
      </c>
      <c r="O132" t="s">
        <v>369</v>
      </c>
      <c r="P132" t="s">
        <v>369</v>
      </c>
      <c r="Q132">
        <v>1</v>
      </c>
      <c r="W132">
        <v>0</v>
      </c>
      <c r="X132">
        <v>206203872</v>
      </c>
      <c r="Y132">
        <v>1.4625</v>
      </c>
      <c r="AA132">
        <v>0</v>
      </c>
      <c r="AB132">
        <v>50.42</v>
      </c>
      <c r="AC132">
        <v>0</v>
      </c>
      <c r="AD132">
        <v>0</v>
      </c>
      <c r="AE132">
        <v>0</v>
      </c>
      <c r="AF132">
        <v>50.42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2</v>
      </c>
      <c r="AQ132">
        <v>1</v>
      </c>
      <c r="AR132">
        <v>0</v>
      </c>
      <c r="AT132">
        <v>1.17</v>
      </c>
      <c r="AU132" t="s">
        <v>38</v>
      </c>
      <c r="AV132">
        <v>0</v>
      </c>
      <c r="AW132">
        <v>2</v>
      </c>
      <c r="AX132">
        <v>27243454</v>
      </c>
      <c r="AY132">
        <v>2</v>
      </c>
      <c r="AZ132">
        <v>32768</v>
      </c>
      <c r="BA132">
        <v>163</v>
      </c>
      <c r="BB132">
        <v>1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58.9914</v>
      </c>
      <c r="BL132">
        <v>0</v>
      </c>
      <c r="BM132">
        <v>0</v>
      </c>
      <c r="BN132">
        <v>0</v>
      </c>
      <c r="BO132">
        <v>0</v>
      </c>
      <c r="BP132">
        <v>1</v>
      </c>
      <c r="BQ132">
        <v>0</v>
      </c>
      <c r="BR132">
        <v>73.73925</v>
      </c>
      <c r="BS132">
        <v>0</v>
      </c>
      <c r="BT132">
        <v>0</v>
      </c>
      <c r="BU132">
        <v>0</v>
      </c>
      <c r="BV132">
        <v>0</v>
      </c>
      <c r="BW132">
        <v>1</v>
      </c>
      <c r="CX132">
        <f>Y132*Source!I82</f>
        <v>39.0195</v>
      </c>
      <c r="CY132">
        <f t="shared" si="18"/>
        <v>50.42</v>
      </c>
      <c r="CZ132">
        <f t="shared" si="19"/>
        <v>50.42</v>
      </c>
      <c r="DA132">
        <f t="shared" si="20"/>
        <v>1</v>
      </c>
      <c r="DB132">
        <v>0</v>
      </c>
    </row>
    <row r="133" spans="1:106" ht="12.75">
      <c r="A133">
        <f>ROW(Source!A82)</f>
        <v>82</v>
      </c>
      <c r="B133">
        <v>27243028</v>
      </c>
      <c r="C133">
        <v>27243423</v>
      </c>
      <c r="D133">
        <v>0</v>
      </c>
      <c r="E133">
        <v>0</v>
      </c>
      <c r="F133">
        <v>1</v>
      </c>
      <c r="G133">
        <v>1</v>
      </c>
      <c r="H133">
        <v>2</v>
      </c>
      <c r="I133" t="s">
        <v>271</v>
      </c>
      <c r="K133" t="s">
        <v>273</v>
      </c>
      <c r="L133">
        <v>1367</v>
      </c>
      <c r="N133">
        <v>1011</v>
      </c>
      <c r="O133" t="s">
        <v>369</v>
      </c>
      <c r="P133" t="s">
        <v>369</v>
      </c>
      <c r="Q133">
        <v>1</v>
      </c>
      <c r="W133">
        <v>0</v>
      </c>
      <c r="X133">
        <v>-855606463</v>
      </c>
      <c r="Y133">
        <v>0.05</v>
      </c>
      <c r="AA133">
        <v>0</v>
      </c>
      <c r="AB133">
        <v>698.33</v>
      </c>
      <c r="AC133">
        <v>0</v>
      </c>
      <c r="AD133">
        <v>0</v>
      </c>
      <c r="AE133">
        <v>0</v>
      </c>
      <c r="AF133">
        <v>698.33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2</v>
      </c>
      <c r="AQ133">
        <v>1</v>
      </c>
      <c r="AR133">
        <v>0</v>
      </c>
      <c r="AT133">
        <v>0.04</v>
      </c>
      <c r="AU133" t="s">
        <v>38</v>
      </c>
      <c r="AV133">
        <v>0</v>
      </c>
      <c r="AW133">
        <v>2</v>
      </c>
      <c r="AX133">
        <v>27243455</v>
      </c>
      <c r="AY133">
        <v>2</v>
      </c>
      <c r="AZ133">
        <v>98304</v>
      </c>
      <c r="BA133">
        <v>164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27.933200000000003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34.916500000000006</v>
      </c>
      <c r="BS133">
        <v>0</v>
      </c>
      <c r="BT133">
        <v>0</v>
      </c>
      <c r="BU133">
        <v>0</v>
      </c>
      <c r="BV133">
        <v>0</v>
      </c>
      <c r="BW133">
        <v>1</v>
      </c>
      <c r="CX133">
        <f>Y133*Source!I82</f>
        <v>1.334</v>
      </c>
      <c r="CY133">
        <f t="shared" si="18"/>
        <v>698.33</v>
      </c>
      <c r="CZ133">
        <f t="shared" si="19"/>
        <v>698.33</v>
      </c>
      <c r="DA133">
        <f t="shared" si="20"/>
        <v>1</v>
      </c>
      <c r="DB133">
        <v>0</v>
      </c>
    </row>
    <row r="134" spans="1:106" ht="12.75">
      <c r="A134">
        <f>ROW(Source!A82)</f>
        <v>82</v>
      </c>
      <c r="B134">
        <v>27243028</v>
      </c>
      <c r="C134">
        <v>27243423</v>
      </c>
      <c r="D134">
        <v>0</v>
      </c>
      <c r="E134">
        <v>0</v>
      </c>
      <c r="F134">
        <v>1</v>
      </c>
      <c r="G134">
        <v>1</v>
      </c>
      <c r="H134">
        <v>3</v>
      </c>
      <c r="K134" t="s">
        <v>395</v>
      </c>
      <c r="L134">
        <v>1327</v>
      </c>
      <c r="N134">
        <v>1005</v>
      </c>
      <c r="O134" t="s">
        <v>322</v>
      </c>
      <c r="P134" t="s">
        <v>322</v>
      </c>
      <c r="Q134">
        <v>1</v>
      </c>
      <c r="W134">
        <v>0</v>
      </c>
      <c r="X134">
        <v>-1324732692</v>
      </c>
      <c r="Y134">
        <v>128</v>
      </c>
      <c r="AA134">
        <v>458.14</v>
      </c>
      <c r="AB134">
        <v>0</v>
      </c>
      <c r="AC134">
        <v>0</v>
      </c>
      <c r="AD134">
        <v>0</v>
      </c>
      <c r="AE134">
        <v>458.14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2</v>
      </c>
      <c r="AQ134">
        <v>1</v>
      </c>
      <c r="AR134">
        <v>0</v>
      </c>
      <c r="AT134">
        <v>128</v>
      </c>
      <c r="AV134">
        <v>0</v>
      </c>
      <c r="AW134">
        <v>1</v>
      </c>
      <c r="AX134">
        <v>-1</v>
      </c>
      <c r="AY134">
        <v>0</v>
      </c>
      <c r="AZ134">
        <v>0</v>
      </c>
      <c r="BB134">
        <v>1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58641.92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1</v>
      </c>
      <c r="BQ134">
        <v>58641.92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1</v>
      </c>
      <c r="CX134">
        <f>Y134*Source!I82</f>
        <v>3415.04</v>
      </c>
      <c r="CY134">
        <f aca="true" t="shared" si="21" ref="CY134:CY145">AA134</f>
        <v>458.14</v>
      </c>
      <c r="CZ134">
        <f aca="true" t="shared" si="22" ref="CZ134:CZ145">AE134</f>
        <v>458.14</v>
      </c>
      <c r="DA134">
        <f aca="true" t="shared" si="23" ref="DA134:DA145">AI134</f>
        <v>1</v>
      </c>
      <c r="DB134">
        <v>0</v>
      </c>
    </row>
    <row r="135" spans="1:106" ht="12.75">
      <c r="A135">
        <f>ROW(Source!A82)</f>
        <v>82</v>
      </c>
      <c r="B135">
        <v>27243028</v>
      </c>
      <c r="C135">
        <v>27243423</v>
      </c>
      <c r="D135">
        <v>0</v>
      </c>
      <c r="E135">
        <v>0</v>
      </c>
      <c r="F135">
        <v>1</v>
      </c>
      <c r="G135">
        <v>1</v>
      </c>
      <c r="H135">
        <v>3</v>
      </c>
      <c r="K135" t="s">
        <v>396</v>
      </c>
      <c r="L135">
        <v>1301</v>
      </c>
      <c r="N135">
        <v>1003</v>
      </c>
      <c r="O135" t="s">
        <v>397</v>
      </c>
      <c r="P135" t="s">
        <v>397</v>
      </c>
      <c r="Q135">
        <v>1</v>
      </c>
      <c r="W135">
        <v>0</v>
      </c>
      <c r="X135">
        <v>102623550</v>
      </c>
      <c r="Y135">
        <v>6.14</v>
      </c>
      <c r="AA135">
        <v>666.32</v>
      </c>
      <c r="AB135">
        <v>0</v>
      </c>
      <c r="AC135">
        <v>0</v>
      </c>
      <c r="AD135">
        <v>0</v>
      </c>
      <c r="AE135">
        <v>666.32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2</v>
      </c>
      <c r="AQ135">
        <v>1</v>
      </c>
      <c r="AR135">
        <v>0</v>
      </c>
      <c r="AT135">
        <v>6.14</v>
      </c>
      <c r="AV135">
        <v>0</v>
      </c>
      <c r="AW135">
        <v>1</v>
      </c>
      <c r="AX135">
        <v>-1</v>
      </c>
      <c r="AY135">
        <v>0</v>
      </c>
      <c r="AZ135">
        <v>0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4091.2048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1</v>
      </c>
      <c r="BQ135">
        <v>4091.2048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1</v>
      </c>
      <c r="CX135">
        <f>Y135*Source!I82</f>
        <v>163.81519999999998</v>
      </c>
      <c r="CY135">
        <f t="shared" si="21"/>
        <v>666.32</v>
      </c>
      <c r="CZ135">
        <f t="shared" si="22"/>
        <v>666.32</v>
      </c>
      <c r="DA135">
        <f t="shared" si="23"/>
        <v>1</v>
      </c>
      <c r="DB135">
        <v>0</v>
      </c>
    </row>
    <row r="136" spans="1:106" ht="12.75">
      <c r="A136">
        <f>ROW(Source!A82)</f>
        <v>82</v>
      </c>
      <c r="B136">
        <v>27243028</v>
      </c>
      <c r="C136">
        <v>27243423</v>
      </c>
      <c r="D136">
        <v>0</v>
      </c>
      <c r="E136">
        <v>0</v>
      </c>
      <c r="F136">
        <v>1</v>
      </c>
      <c r="G136">
        <v>1</v>
      </c>
      <c r="H136">
        <v>3</v>
      </c>
      <c r="K136" t="s">
        <v>398</v>
      </c>
      <c r="L136">
        <v>1301</v>
      </c>
      <c r="N136">
        <v>1003</v>
      </c>
      <c r="O136" t="s">
        <v>397</v>
      </c>
      <c r="P136" t="s">
        <v>397</v>
      </c>
      <c r="Q136">
        <v>1</v>
      </c>
      <c r="W136">
        <v>0</v>
      </c>
      <c r="X136">
        <v>474696370</v>
      </c>
      <c r="Y136">
        <v>134</v>
      </c>
      <c r="AA136">
        <v>262.19</v>
      </c>
      <c r="AB136">
        <v>0</v>
      </c>
      <c r="AC136">
        <v>0</v>
      </c>
      <c r="AD136">
        <v>0</v>
      </c>
      <c r="AE136">
        <v>262.19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2</v>
      </c>
      <c r="AQ136">
        <v>1</v>
      </c>
      <c r="AR136">
        <v>0</v>
      </c>
      <c r="AT136">
        <v>134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1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35133.46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1</v>
      </c>
      <c r="BQ136">
        <v>35133.46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1</v>
      </c>
      <c r="CX136">
        <f>Y136*Source!I82</f>
        <v>3575.12</v>
      </c>
      <c r="CY136">
        <f t="shared" si="21"/>
        <v>262.19</v>
      </c>
      <c r="CZ136">
        <f t="shared" si="22"/>
        <v>262.19</v>
      </c>
      <c r="DA136">
        <f t="shared" si="23"/>
        <v>1</v>
      </c>
      <c r="DB136">
        <v>0</v>
      </c>
    </row>
    <row r="137" spans="1:106" ht="12.75">
      <c r="A137">
        <f>ROW(Source!A82)</f>
        <v>82</v>
      </c>
      <c r="B137">
        <v>27243028</v>
      </c>
      <c r="C137">
        <v>27243423</v>
      </c>
      <c r="D137">
        <v>0</v>
      </c>
      <c r="E137">
        <v>0</v>
      </c>
      <c r="F137">
        <v>1</v>
      </c>
      <c r="G137">
        <v>1</v>
      </c>
      <c r="H137">
        <v>3</v>
      </c>
      <c r="K137" t="s">
        <v>399</v>
      </c>
      <c r="L137">
        <v>1301</v>
      </c>
      <c r="N137">
        <v>1003</v>
      </c>
      <c r="O137" t="s">
        <v>397</v>
      </c>
      <c r="P137" t="s">
        <v>397</v>
      </c>
      <c r="Q137">
        <v>1</v>
      </c>
      <c r="W137">
        <v>0</v>
      </c>
      <c r="X137">
        <v>1136113889</v>
      </c>
      <c r="Y137">
        <v>67</v>
      </c>
      <c r="AA137">
        <v>206.45</v>
      </c>
      <c r="AB137">
        <v>0</v>
      </c>
      <c r="AC137">
        <v>0</v>
      </c>
      <c r="AD137">
        <v>0</v>
      </c>
      <c r="AE137">
        <v>206.45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2</v>
      </c>
      <c r="AQ137">
        <v>1</v>
      </c>
      <c r="AR137">
        <v>0</v>
      </c>
      <c r="AT137">
        <v>67</v>
      </c>
      <c r="AV137">
        <v>0</v>
      </c>
      <c r="AW137">
        <v>1</v>
      </c>
      <c r="AX137">
        <v>-1</v>
      </c>
      <c r="AY137">
        <v>0</v>
      </c>
      <c r="AZ137">
        <v>0</v>
      </c>
      <c r="BB137">
        <v>1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13832.15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1</v>
      </c>
      <c r="BQ137">
        <v>13832.15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1</v>
      </c>
      <c r="CX137">
        <f>Y137*Source!I82</f>
        <v>1787.56</v>
      </c>
      <c r="CY137">
        <f t="shared" si="21"/>
        <v>206.45</v>
      </c>
      <c r="CZ137">
        <f t="shared" si="22"/>
        <v>206.45</v>
      </c>
      <c r="DA137">
        <f t="shared" si="23"/>
        <v>1</v>
      </c>
      <c r="DB137">
        <v>0</v>
      </c>
    </row>
    <row r="138" spans="1:106" ht="12.75">
      <c r="A138">
        <f>ROW(Source!A82)</f>
        <v>82</v>
      </c>
      <c r="B138">
        <v>27243028</v>
      </c>
      <c r="C138">
        <v>27243423</v>
      </c>
      <c r="D138">
        <v>0</v>
      </c>
      <c r="E138">
        <v>0</v>
      </c>
      <c r="F138">
        <v>1</v>
      </c>
      <c r="G138">
        <v>1</v>
      </c>
      <c r="H138">
        <v>3</v>
      </c>
      <c r="K138" t="s">
        <v>400</v>
      </c>
      <c r="L138">
        <v>1354</v>
      </c>
      <c r="N138">
        <v>1010</v>
      </c>
      <c r="O138" t="s">
        <v>380</v>
      </c>
      <c r="P138" t="s">
        <v>380</v>
      </c>
      <c r="Q138">
        <v>1</v>
      </c>
      <c r="W138">
        <v>0</v>
      </c>
      <c r="X138">
        <v>1752140939</v>
      </c>
      <c r="Y138">
        <v>335.00404203718676</v>
      </c>
      <c r="AA138">
        <v>13.39</v>
      </c>
      <c r="AB138">
        <v>0</v>
      </c>
      <c r="AC138">
        <v>0</v>
      </c>
      <c r="AD138">
        <v>0</v>
      </c>
      <c r="AE138">
        <v>13.39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2</v>
      </c>
      <c r="AQ138">
        <v>1</v>
      </c>
      <c r="AR138">
        <v>0</v>
      </c>
      <c r="AT138">
        <v>335.00404203718676</v>
      </c>
      <c r="AV138">
        <v>0</v>
      </c>
      <c r="AW138">
        <v>1</v>
      </c>
      <c r="AX138">
        <v>-1</v>
      </c>
      <c r="AY138">
        <v>0</v>
      </c>
      <c r="AZ138">
        <v>0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4485.704122877931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1</v>
      </c>
      <c r="BQ138">
        <v>4485.704122877931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1</v>
      </c>
      <c r="CX138">
        <f>Y138*Source!I82</f>
        <v>8937.907841552144</v>
      </c>
      <c r="CY138">
        <f t="shared" si="21"/>
        <v>13.39</v>
      </c>
      <c r="CZ138">
        <f t="shared" si="22"/>
        <v>13.39</v>
      </c>
      <c r="DA138">
        <f t="shared" si="23"/>
        <v>1</v>
      </c>
      <c r="DB138">
        <v>0</v>
      </c>
    </row>
    <row r="139" spans="1:106" ht="12.75">
      <c r="A139">
        <f>ROW(Source!A82)</f>
        <v>82</v>
      </c>
      <c r="B139">
        <v>27243028</v>
      </c>
      <c r="C139">
        <v>27243423</v>
      </c>
      <c r="D139">
        <v>0</v>
      </c>
      <c r="E139">
        <v>0</v>
      </c>
      <c r="F139">
        <v>1</v>
      </c>
      <c r="G139">
        <v>1</v>
      </c>
      <c r="H139">
        <v>3</v>
      </c>
      <c r="K139" t="s">
        <v>401</v>
      </c>
      <c r="L139">
        <v>1296</v>
      </c>
      <c r="N139">
        <v>1002</v>
      </c>
      <c r="O139" t="s">
        <v>402</v>
      </c>
      <c r="P139" t="s">
        <v>402</v>
      </c>
      <c r="Q139">
        <v>1</v>
      </c>
      <c r="W139">
        <v>0</v>
      </c>
      <c r="X139">
        <v>-296189421</v>
      </c>
      <c r="Y139">
        <v>0.63</v>
      </c>
      <c r="AA139">
        <v>406.5</v>
      </c>
      <c r="AB139">
        <v>0</v>
      </c>
      <c r="AC139">
        <v>0</v>
      </c>
      <c r="AD139">
        <v>0</v>
      </c>
      <c r="AE139">
        <v>406.5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2</v>
      </c>
      <c r="AQ139">
        <v>1</v>
      </c>
      <c r="AR139">
        <v>0</v>
      </c>
      <c r="AT139">
        <v>0.63</v>
      </c>
      <c r="AV139">
        <v>0</v>
      </c>
      <c r="AW139">
        <v>1</v>
      </c>
      <c r="AX139">
        <v>-1</v>
      </c>
      <c r="AY139">
        <v>0</v>
      </c>
      <c r="AZ139">
        <v>0</v>
      </c>
      <c r="BB139">
        <v>1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256.095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1</v>
      </c>
      <c r="BQ139">
        <v>256.095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1</v>
      </c>
      <c r="CX139">
        <f>Y139*Source!I82</f>
        <v>16.8084</v>
      </c>
      <c r="CY139">
        <f t="shared" si="21"/>
        <v>406.5</v>
      </c>
      <c r="CZ139">
        <f t="shared" si="22"/>
        <v>406.5</v>
      </c>
      <c r="DA139">
        <f t="shared" si="23"/>
        <v>1</v>
      </c>
      <c r="DB139">
        <v>0</v>
      </c>
    </row>
    <row r="140" spans="1:106" ht="12.75">
      <c r="A140">
        <f>ROW(Source!A82)</f>
        <v>82</v>
      </c>
      <c r="B140">
        <v>27243028</v>
      </c>
      <c r="C140">
        <v>27243423</v>
      </c>
      <c r="D140">
        <v>0</v>
      </c>
      <c r="E140">
        <v>0</v>
      </c>
      <c r="F140">
        <v>1</v>
      </c>
      <c r="G140">
        <v>1</v>
      </c>
      <c r="H140">
        <v>3</v>
      </c>
      <c r="K140" t="s">
        <v>403</v>
      </c>
      <c r="L140">
        <v>1296</v>
      </c>
      <c r="N140">
        <v>1002</v>
      </c>
      <c r="O140" t="s">
        <v>402</v>
      </c>
      <c r="P140" t="s">
        <v>402</v>
      </c>
      <c r="Q140">
        <v>1</v>
      </c>
      <c r="W140">
        <v>0</v>
      </c>
      <c r="X140">
        <v>211942243</v>
      </c>
      <c r="Y140">
        <v>16.5</v>
      </c>
      <c r="AA140">
        <v>605.35</v>
      </c>
      <c r="AB140">
        <v>0</v>
      </c>
      <c r="AC140">
        <v>0</v>
      </c>
      <c r="AD140">
        <v>0</v>
      </c>
      <c r="AE140">
        <v>605.35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2</v>
      </c>
      <c r="AQ140">
        <v>1</v>
      </c>
      <c r="AR140">
        <v>0</v>
      </c>
      <c r="AT140">
        <v>16.5</v>
      </c>
      <c r="AV140">
        <v>0</v>
      </c>
      <c r="AW140">
        <v>1</v>
      </c>
      <c r="AX140">
        <v>-1</v>
      </c>
      <c r="AY140">
        <v>0</v>
      </c>
      <c r="AZ140">
        <v>0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9988.275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1</v>
      </c>
      <c r="BQ140">
        <v>9988.275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1</v>
      </c>
      <c r="CX140">
        <f>Y140*Source!I82</f>
        <v>440.21999999999997</v>
      </c>
      <c r="CY140">
        <f t="shared" si="21"/>
        <v>605.35</v>
      </c>
      <c r="CZ140">
        <f t="shared" si="22"/>
        <v>605.35</v>
      </c>
      <c r="DA140">
        <f t="shared" si="23"/>
        <v>1</v>
      </c>
      <c r="DB140">
        <v>0</v>
      </c>
    </row>
    <row r="141" spans="1:106" ht="12.75">
      <c r="A141">
        <f>ROW(Source!A82)</f>
        <v>82</v>
      </c>
      <c r="B141">
        <v>27243028</v>
      </c>
      <c r="C141">
        <v>27243423</v>
      </c>
      <c r="D141">
        <v>0</v>
      </c>
      <c r="E141">
        <v>0</v>
      </c>
      <c r="F141">
        <v>1</v>
      </c>
      <c r="G141">
        <v>1</v>
      </c>
      <c r="H141">
        <v>3</v>
      </c>
      <c r="K141" t="s">
        <v>404</v>
      </c>
      <c r="L141">
        <v>1296</v>
      </c>
      <c r="N141">
        <v>1002</v>
      </c>
      <c r="O141" t="s">
        <v>402</v>
      </c>
      <c r="P141" t="s">
        <v>402</v>
      </c>
      <c r="Q141">
        <v>1</v>
      </c>
      <c r="W141">
        <v>0</v>
      </c>
      <c r="X141">
        <v>53170732</v>
      </c>
      <c r="Y141">
        <v>151.2</v>
      </c>
      <c r="AA141">
        <v>516.94</v>
      </c>
      <c r="AB141">
        <v>0</v>
      </c>
      <c r="AC141">
        <v>0</v>
      </c>
      <c r="AD141">
        <v>0</v>
      </c>
      <c r="AE141">
        <v>516.94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2</v>
      </c>
      <c r="AQ141">
        <v>1</v>
      </c>
      <c r="AR141">
        <v>0</v>
      </c>
      <c r="AT141">
        <v>151.2</v>
      </c>
      <c r="AV141">
        <v>0</v>
      </c>
      <c r="AW141">
        <v>1</v>
      </c>
      <c r="AX141">
        <v>-1</v>
      </c>
      <c r="AY141">
        <v>0</v>
      </c>
      <c r="AZ141">
        <v>0</v>
      </c>
      <c r="BB141">
        <v>1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78161.32800000001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1</v>
      </c>
      <c r="BQ141">
        <v>78161.32800000001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1</v>
      </c>
      <c r="CX141">
        <f>Y141*Source!I82</f>
        <v>4034.0159999999996</v>
      </c>
      <c r="CY141">
        <f t="shared" si="21"/>
        <v>516.94</v>
      </c>
      <c r="CZ141">
        <f t="shared" si="22"/>
        <v>516.94</v>
      </c>
      <c r="DA141">
        <f t="shared" si="23"/>
        <v>1</v>
      </c>
      <c r="DB141">
        <v>0</v>
      </c>
    </row>
    <row r="142" spans="1:106" ht="12.75">
      <c r="A142">
        <f>ROW(Source!A82)</f>
        <v>82</v>
      </c>
      <c r="B142">
        <v>27243028</v>
      </c>
      <c r="C142">
        <v>27243423</v>
      </c>
      <c r="D142">
        <v>0</v>
      </c>
      <c r="E142">
        <v>0</v>
      </c>
      <c r="F142">
        <v>1</v>
      </c>
      <c r="G142">
        <v>1</v>
      </c>
      <c r="H142">
        <v>3</v>
      </c>
      <c r="K142" t="s">
        <v>405</v>
      </c>
      <c r="L142">
        <v>1301</v>
      </c>
      <c r="N142">
        <v>1003</v>
      </c>
      <c r="O142" t="s">
        <v>397</v>
      </c>
      <c r="P142" t="s">
        <v>397</v>
      </c>
      <c r="Q142">
        <v>1</v>
      </c>
      <c r="W142">
        <v>0</v>
      </c>
      <c r="X142">
        <v>-1575911984</v>
      </c>
      <c r="Y142">
        <v>56.29210455402856</v>
      </c>
      <c r="AA142">
        <v>166.4</v>
      </c>
      <c r="AB142">
        <v>0</v>
      </c>
      <c r="AC142">
        <v>0</v>
      </c>
      <c r="AD142">
        <v>0</v>
      </c>
      <c r="AE142">
        <v>166.4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2</v>
      </c>
      <c r="AQ142">
        <v>1</v>
      </c>
      <c r="AR142">
        <v>0</v>
      </c>
      <c r="AT142">
        <v>56.29210455402856</v>
      </c>
      <c r="AV142">
        <v>0</v>
      </c>
      <c r="AW142">
        <v>1</v>
      </c>
      <c r="AX142">
        <v>-1</v>
      </c>
      <c r="AY142">
        <v>0</v>
      </c>
      <c r="AZ142">
        <v>0</v>
      </c>
      <c r="BB142">
        <v>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9367.006197790353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1</v>
      </c>
      <c r="BQ142">
        <v>9367.006197790353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1</v>
      </c>
      <c r="CX142">
        <f>Y142*Source!I82</f>
        <v>1501.873349501482</v>
      </c>
      <c r="CY142">
        <f t="shared" si="21"/>
        <v>166.4</v>
      </c>
      <c r="CZ142">
        <f t="shared" si="22"/>
        <v>166.4</v>
      </c>
      <c r="DA142">
        <f t="shared" si="23"/>
        <v>1</v>
      </c>
      <c r="DB142">
        <v>0</v>
      </c>
    </row>
    <row r="143" spans="1:106" ht="12.75">
      <c r="A143">
        <f>ROW(Source!A82)</f>
        <v>82</v>
      </c>
      <c r="B143">
        <v>27243028</v>
      </c>
      <c r="C143">
        <v>27243423</v>
      </c>
      <c r="D143">
        <v>0</v>
      </c>
      <c r="E143">
        <v>0</v>
      </c>
      <c r="F143">
        <v>1</v>
      </c>
      <c r="G143">
        <v>1</v>
      </c>
      <c r="H143">
        <v>3</v>
      </c>
      <c r="K143" t="s">
        <v>406</v>
      </c>
      <c r="L143">
        <v>1354</v>
      </c>
      <c r="N143">
        <v>1010</v>
      </c>
      <c r="O143" t="s">
        <v>380</v>
      </c>
      <c r="P143" t="s">
        <v>380</v>
      </c>
      <c r="Q143">
        <v>1</v>
      </c>
      <c r="W143">
        <v>0</v>
      </c>
      <c r="X143">
        <v>827597763</v>
      </c>
      <c r="Y143">
        <v>200</v>
      </c>
      <c r="AA143">
        <v>1.78</v>
      </c>
      <c r="AB143">
        <v>0</v>
      </c>
      <c r="AC143">
        <v>0</v>
      </c>
      <c r="AD143">
        <v>0</v>
      </c>
      <c r="AE143">
        <v>1.78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1</v>
      </c>
      <c r="AQ143">
        <v>1</v>
      </c>
      <c r="AR143">
        <v>0</v>
      </c>
      <c r="AT143">
        <v>200</v>
      </c>
      <c r="AV143">
        <v>0</v>
      </c>
      <c r="AW143">
        <v>1</v>
      </c>
      <c r="AX143">
        <v>-1</v>
      </c>
      <c r="AY143">
        <v>0</v>
      </c>
      <c r="AZ143">
        <v>0</v>
      </c>
      <c r="BB143">
        <v>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356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1</v>
      </c>
      <c r="BQ143">
        <v>356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1</v>
      </c>
      <c r="CX143">
        <f>Y143*Source!I82</f>
        <v>5336</v>
      </c>
      <c r="CY143">
        <f t="shared" si="21"/>
        <v>1.78</v>
      </c>
      <c r="CZ143">
        <f t="shared" si="22"/>
        <v>1.78</v>
      </c>
      <c r="DA143">
        <f t="shared" si="23"/>
        <v>1</v>
      </c>
      <c r="DB143">
        <v>0</v>
      </c>
    </row>
    <row r="144" spans="1:106" ht="12.75">
      <c r="A144">
        <f>ROW(Source!A82)</f>
        <v>82</v>
      </c>
      <c r="B144">
        <v>27243028</v>
      </c>
      <c r="C144">
        <v>27243423</v>
      </c>
      <c r="D144">
        <v>0</v>
      </c>
      <c r="E144">
        <v>0</v>
      </c>
      <c r="F144">
        <v>1</v>
      </c>
      <c r="G144">
        <v>1</v>
      </c>
      <c r="H144">
        <v>3</v>
      </c>
      <c r="K144" t="s">
        <v>407</v>
      </c>
      <c r="L144">
        <v>1354</v>
      </c>
      <c r="N144">
        <v>1010</v>
      </c>
      <c r="O144" t="s">
        <v>380</v>
      </c>
      <c r="P144" t="s">
        <v>380</v>
      </c>
      <c r="Q144">
        <v>1</v>
      </c>
      <c r="W144">
        <v>0</v>
      </c>
      <c r="X144">
        <v>-1560390879</v>
      </c>
      <c r="Y144">
        <v>12</v>
      </c>
      <c r="AA144">
        <v>621.34</v>
      </c>
      <c r="AB144">
        <v>0</v>
      </c>
      <c r="AC144">
        <v>0</v>
      </c>
      <c r="AD144">
        <v>0</v>
      </c>
      <c r="AE144">
        <v>621.34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1</v>
      </c>
      <c r="AQ144">
        <v>1</v>
      </c>
      <c r="AR144">
        <v>0</v>
      </c>
      <c r="AT144">
        <v>12</v>
      </c>
      <c r="AV144">
        <v>0</v>
      </c>
      <c r="AW144">
        <v>1</v>
      </c>
      <c r="AX144">
        <v>-1</v>
      </c>
      <c r="AY144">
        <v>0</v>
      </c>
      <c r="AZ144">
        <v>0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7456.08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1</v>
      </c>
      <c r="BQ144">
        <v>7456.08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1</v>
      </c>
      <c r="CX144">
        <f>Y144*Source!I82</f>
        <v>320.15999999999997</v>
      </c>
      <c r="CY144">
        <f t="shared" si="21"/>
        <v>621.34</v>
      </c>
      <c r="CZ144">
        <f t="shared" si="22"/>
        <v>621.34</v>
      </c>
      <c r="DA144">
        <f t="shared" si="23"/>
        <v>1</v>
      </c>
      <c r="DB144">
        <v>0</v>
      </c>
    </row>
    <row r="145" spans="1:106" ht="12.75">
      <c r="A145">
        <f>ROW(Source!A82)</f>
        <v>82</v>
      </c>
      <c r="B145">
        <v>27243028</v>
      </c>
      <c r="C145">
        <v>27243423</v>
      </c>
      <c r="D145">
        <v>0</v>
      </c>
      <c r="E145">
        <v>0</v>
      </c>
      <c r="F145">
        <v>1</v>
      </c>
      <c r="G145">
        <v>1</v>
      </c>
      <c r="H145">
        <v>3</v>
      </c>
      <c r="K145" t="s">
        <v>408</v>
      </c>
      <c r="L145">
        <v>0</v>
      </c>
      <c r="W145">
        <v>0</v>
      </c>
      <c r="X145">
        <v>-1504253188</v>
      </c>
      <c r="Y145">
        <v>3.5004042037186744</v>
      </c>
      <c r="AA145">
        <v>52.32</v>
      </c>
      <c r="AB145">
        <v>0</v>
      </c>
      <c r="AC145">
        <v>0</v>
      </c>
      <c r="AD145">
        <v>0</v>
      </c>
      <c r="AE145">
        <v>52.32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2</v>
      </c>
      <c r="AQ145">
        <v>1</v>
      </c>
      <c r="AR145">
        <v>0</v>
      </c>
      <c r="AT145">
        <v>3.5004042037186744</v>
      </c>
      <c r="AV145">
        <v>0</v>
      </c>
      <c r="AW145">
        <v>1</v>
      </c>
      <c r="AX145">
        <v>-1</v>
      </c>
      <c r="AY145">
        <v>0</v>
      </c>
      <c r="AZ145">
        <v>0</v>
      </c>
      <c r="BB145">
        <v>1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183.14114793856106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1</v>
      </c>
      <c r="BQ145">
        <v>183.14114793856106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1</v>
      </c>
      <c r="CX145">
        <f>Y145*Source!I82</f>
        <v>93.39078415521423</v>
      </c>
      <c r="CY145">
        <f t="shared" si="21"/>
        <v>52.32</v>
      </c>
      <c r="CZ145">
        <f t="shared" si="22"/>
        <v>52.32</v>
      </c>
      <c r="DA145">
        <f t="shared" si="23"/>
        <v>1</v>
      </c>
      <c r="DB145">
        <v>0</v>
      </c>
    </row>
    <row r="146" spans="1:106" ht="12.75">
      <c r="A146">
        <f>ROW(Source!A83)</f>
        <v>83</v>
      </c>
      <c r="B146">
        <v>27243028</v>
      </c>
      <c r="C146">
        <v>27243463</v>
      </c>
      <c r="D146">
        <v>20812189</v>
      </c>
      <c r="E146">
        <v>1</v>
      </c>
      <c r="F146">
        <v>1</v>
      </c>
      <c r="G146">
        <v>1</v>
      </c>
      <c r="H146">
        <v>1</v>
      </c>
      <c r="I146" t="s">
        <v>409</v>
      </c>
      <c r="K146" t="s">
        <v>410</v>
      </c>
      <c r="L146">
        <v>1369</v>
      </c>
      <c r="N146">
        <v>1013</v>
      </c>
      <c r="O146" t="s">
        <v>258</v>
      </c>
      <c r="P146" t="s">
        <v>258</v>
      </c>
      <c r="Q146">
        <v>1</v>
      </c>
      <c r="W146">
        <v>0</v>
      </c>
      <c r="X146">
        <v>2133962043</v>
      </c>
      <c r="Y146">
        <v>101.24</v>
      </c>
      <c r="AA146">
        <v>0</v>
      </c>
      <c r="AB146">
        <v>0</v>
      </c>
      <c r="AC146">
        <v>0</v>
      </c>
      <c r="AD146">
        <v>120.31</v>
      </c>
      <c r="AE146">
        <v>0</v>
      </c>
      <c r="AF146">
        <v>0</v>
      </c>
      <c r="AG146">
        <v>0</v>
      </c>
      <c r="AH146">
        <v>120.31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1</v>
      </c>
      <c r="AQ146">
        <v>1</v>
      </c>
      <c r="AR146">
        <v>0</v>
      </c>
      <c r="AT146">
        <v>101.24</v>
      </c>
      <c r="AV146">
        <v>1</v>
      </c>
      <c r="AW146">
        <v>2</v>
      </c>
      <c r="AX146">
        <v>27243470</v>
      </c>
      <c r="AY146">
        <v>2</v>
      </c>
      <c r="AZ146">
        <v>131072</v>
      </c>
      <c r="BA146">
        <v>172</v>
      </c>
      <c r="BB146">
        <v>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12180.1844</v>
      </c>
      <c r="BN146">
        <v>101.24</v>
      </c>
      <c r="BO146">
        <v>0</v>
      </c>
      <c r="BP146">
        <v>1</v>
      </c>
      <c r="BQ146">
        <v>0</v>
      </c>
      <c r="BR146">
        <v>0</v>
      </c>
      <c r="BS146">
        <v>0</v>
      </c>
      <c r="BT146">
        <v>12180.1844</v>
      </c>
      <c r="BU146">
        <v>101.24</v>
      </c>
      <c r="BV146">
        <v>0</v>
      </c>
      <c r="BW146">
        <v>1</v>
      </c>
      <c r="CX146">
        <f>Y146*Source!I83</f>
        <v>340.16639999999995</v>
      </c>
      <c r="CY146">
        <f>AD146</f>
        <v>120.31</v>
      </c>
      <c r="CZ146">
        <f>AH146</f>
        <v>120.31</v>
      </c>
      <c r="DA146">
        <f>AL146</f>
        <v>1</v>
      </c>
      <c r="DB146">
        <v>0</v>
      </c>
    </row>
    <row r="147" spans="1:106" ht="12.75">
      <c r="A147">
        <f>ROW(Source!A83)</f>
        <v>83</v>
      </c>
      <c r="B147">
        <v>27243028</v>
      </c>
      <c r="C147">
        <v>27243463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23</v>
      </c>
      <c r="K147" t="s">
        <v>276</v>
      </c>
      <c r="L147">
        <v>608254</v>
      </c>
      <c r="N147">
        <v>1013</v>
      </c>
      <c r="O147" t="s">
        <v>277</v>
      </c>
      <c r="P147" t="s">
        <v>277</v>
      </c>
      <c r="Q147">
        <v>1</v>
      </c>
      <c r="W147">
        <v>0</v>
      </c>
      <c r="X147">
        <v>-185737400</v>
      </c>
      <c r="Y147">
        <v>0.25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1</v>
      </c>
      <c r="AR147">
        <v>0</v>
      </c>
      <c r="AT147">
        <v>0.25</v>
      </c>
      <c r="AV147">
        <v>2</v>
      </c>
      <c r="AW147">
        <v>2</v>
      </c>
      <c r="AX147">
        <v>27243471</v>
      </c>
      <c r="AY147">
        <v>1</v>
      </c>
      <c r="AZ147">
        <v>0</v>
      </c>
      <c r="BA147">
        <v>173</v>
      </c>
      <c r="BB147">
        <v>1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0.25</v>
      </c>
      <c r="BP147">
        <v>1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0.25</v>
      </c>
      <c r="BW147">
        <v>1</v>
      </c>
      <c r="CX147">
        <f>Y147*Source!I83</f>
        <v>0.84</v>
      </c>
      <c r="CY147">
        <f>AD147</f>
        <v>0</v>
      </c>
      <c r="CZ147">
        <f>AH147</f>
        <v>0</v>
      </c>
      <c r="DA147">
        <f>AL147</f>
        <v>1</v>
      </c>
      <c r="DB147">
        <v>0</v>
      </c>
    </row>
    <row r="148" spans="1:106" ht="12.75">
      <c r="A148">
        <f>ROW(Source!A83)</f>
        <v>83</v>
      </c>
      <c r="B148">
        <v>27243028</v>
      </c>
      <c r="C148">
        <v>27243463</v>
      </c>
      <c r="D148">
        <v>20802825</v>
      </c>
      <c r="E148">
        <v>1</v>
      </c>
      <c r="F148">
        <v>1</v>
      </c>
      <c r="G148">
        <v>1</v>
      </c>
      <c r="H148">
        <v>2</v>
      </c>
      <c r="I148" t="s">
        <v>411</v>
      </c>
      <c r="J148" t="s">
        <v>412</v>
      </c>
      <c r="K148" t="s">
        <v>413</v>
      </c>
      <c r="L148">
        <v>1368</v>
      </c>
      <c r="N148">
        <v>1011</v>
      </c>
      <c r="O148" t="s">
        <v>262</v>
      </c>
      <c r="P148" t="s">
        <v>262</v>
      </c>
      <c r="Q148">
        <v>1</v>
      </c>
      <c r="W148">
        <v>0</v>
      </c>
      <c r="X148">
        <v>-1027223354</v>
      </c>
      <c r="Y148">
        <v>0.25</v>
      </c>
      <c r="AA148">
        <v>0</v>
      </c>
      <c r="AB148">
        <v>258.94</v>
      </c>
      <c r="AC148">
        <v>0</v>
      </c>
      <c r="AD148">
        <v>0</v>
      </c>
      <c r="AE148">
        <v>0</v>
      </c>
      <c r="AF148">
        <v>258.94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1</v>
      </c>
      <c r="AQ148">
        <v>1</v>
      </c>
      <c r="AR148">
        <v>0</v>
      </c>
      <c r="AT148">
        <v>0.25</v>
      </c>
      <c r="AV148">
        <v>0</v>
      </c>
      <c r="AW148">
        <v>2</v>
      </c>
      <c r="AX148">
        <v>27243472</v>
      </c>
      <c r="AY148">
        <v>2</v>
      </c>
      <c r="AZ148">
        <v>98304</v>
      </c>
      <c r="BA148">
        <v>174</v>
      </c>
      <c r="BB148">
        <v>1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64.735</v>
      </c>
      <c r="BL148">
        <v>0</v>
      </c>
      <c r="BM148">
        <v>0</v>
      </c>
      <c r="BN148">
        <v>0</v>
      </c>
      <c r="BO148">
        <v>0</v>
      </c>
      <c r="BP148">
        <v>1</v>
      </c>
      <c r="BQ148">
        <v>0</v>
      </c>
      <c r="BR148">
        <v>64.735</v>
      </c>
      <c r="BS148">
        <v>0</v>
      </c>
      <c r="BT148">
        <v>0</v>
      </c>
      <c r="BU148">
        <v>0</v>
      </c>
      <c r="BV148">
        <v>0</v>
      </c>
      <c r="BW148">
        <v>1</v>
      </c>
      <c r="CX148">
        <f>Y148*Source!I83</f>
        <v>0.84</v>
      </c>
      <c r="CY148">
        <f>AB148</f>
        <v>258.94</v>
      </c>
      <c r="CZ148">
        <f>AF148</f>
        <v>258.94</v>
      </c>
      <c r="DA148">
        <f>AJ148</f>
        <v>1</v>
      </c>
      <c r="DB148">
        <v>0</v>
      </c>
    </row>
    <row r="149" spans="1:106" ht="12.75">
      <c r="A149">
        <f>ROW(Source!A83)</f>
        <v>83</v>
      </c>
      <c r="B149">
        <v>27243028</v>
      </c>
      <c r="C149">
        <v>27243463</v>
      </c>
      <c r="D149">
        <v>20752623</v>
      </c>
      <c r="E149">
        <v>1</v>
      </c>
      <c r="F149">
        <v>1</v>
      </c>
      <c r="G149">
        <v>1</v>
      </c>
      <c r="H149">
        <v>3</v>
      </c>
      <c r="I149" t="s">
        <v>414</v>
      </c>
      <c r="J149" t="s">
        <v>415</v>
      </c>
      <c r="K149" t="s">
        <v>416</v>
      </c>
      <c r="L149">
        <v>1354</v>
      </c>
      <c r="N149">
        <v>1010</v>
      </c>
      <c r="O149" t="s">
        <v>380</v>
      </c>
      <c r="P149" t="s">
        <v>380</v>
      </c>
      <c r="Q149">
        <v>1</v>
      </c>
      <c r="W149">
        <v>0</v>
      </c>
      <c r="X149">
        <v>-1083236896</v>
      </c>
      <c r="Y149">
        <v>300</v>
      </c>
      <c r="AA149">
        <v>3.88</v>
      </c>
      <c r="AB149">
        <v>0</v>
      </c>
      <c r="AC149">
        <v>0</v>
      </c>
      <c r="AD149">
        <v>0</v>
      </c>
      <c r="AE149">
        <v>3.88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1</v>
      </c>
      <c r="AR149">
        <v>0</v>
      </c>
      <c r="AT149">
        <v>300</v>
      </c>
      <c r="AV149">
        <v>0</v>
      </c>
      <c r="AW149">
        <v>2</v>
      </c>
      <c r="AX149">
        <v>27243474</v>
      </c>
      <c r="AY149">
        <v>2</v>
      </c>
      <c r="AZ149">
        <v>22528</v>
      </c>
      <c r="BA149">
        <v>176</v>
      </c>
      <c r="BB149">
        <v>1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1164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1</v>
      </c>
      <c r="BQ149">
        <v>1164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1</v>
      </c>
      <c r="CX149">
        <f>Y149*Source!I83</f>
        <v>1008</v>
      </c>
      <c r="CY149">
        <f>AA149</f>
        <v>3.88</v>
      </c>
      <c r="CZ149">
        <f>AE149</f>
        <v>3.88</v>
      </c>
      <c r="DA149">
        <f>AI149</f>
        <v>1</v>
      </c>
      <c r="DB149">
        <v>0</v>
      </c>
    </row>
    <row r="150" spans="1:106" ht="12.75">
      <c r="A150">
        <f>ROW(Source!A83)</f>
        <v>83</v>
      </c>
      <c r="B150">
        <v>27243028</v>
      </c>
      <c r="C150">
        <v>27243463</v>
      </c>
      <c r="D150">
        <v>20753584</v>
      </c>
      <c r="E150">
        <v>1</v>
      </c>
      <c r="F150">
        <v>1</v>
      </c>
      <c r="G150">
        <v>1</v>
      </c>
      <c r="H150">
        <v>3</v>
      </c>
      <c r="I150" t="s">
        <v>417</v>
      </c>
      <c r="J150" t="s">
        <v>418</v>
      </c>
      <c r="K150" t="s">
        <v>419</v>
      </c>
      <c r="L150">
        <v>1348</v>
      </c>
      <c r="N150">
        <v>1009</v>
      </c>
      <c r="O150" t="s">
        <v>100</v>
      </c>
      <c r="P150" t="s">
        <v>100</v>
      </c>
      <c r="Q150">
        <v>1000</v>
      </c>
      <c r="W150">
        <v>0</v>
      </c>
      <c r="X150">
        <v>-1114137737</v>
      </c>
      <c r="Y150">
        <v>0.294</v>
      </c>
      <c r="AA150">
        <v>47457.6</v>
      </c>
      <c r="AB150">
        <v>0</v>
      </c>
      <c r="AC150">
        <v>0</v>
      </c>
      <c r="AD150">
        <v>0</v>
      </c>
      <c r="AE150">
        <v>47457.6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1</v>
      </c>
      <c r="AR150">
        <v>0</v>
      </c>
      <c r="AT150">
        <v>0.294</v>
      </c>
      <c r="AV150">
        <v>0</v>
      </c>
      <c r="AW150">
        <v>2</v>
      </c>
      <c r="AX150">
        <v>27243477</v>
      </c>
      <c r="AY150">
        <v>2</v>
      </c>
      <c r="AZ150">
        <v>16384</v>
      </c>
      <c r="BA150">
        <v>179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13952.534399999999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1</v>
      </c>
      <c r="BQ150">
        <v>13952.534399999999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</v>
      </c>
      <c r="CX150">
        <f>Y150*Source!I83</f>
        <v>0.9878399999999999</v>
      </c>
      <c r="CY150">
        <f>AA150</f>
        <v>47457.6</v>
      </c>
      <c r="CZ150">
        <f>AE150</f>
        <v>47457.6</v>
      </c>
      <c r="DA150">
        <f>AI150</f>
        <v>1</v>
      </c>
      <c r="DB150">
        <v>0</v>
      </c>
    </row>
    <row r="151" spans="1:106" ht="12.75">
      <c r="A151">
        <f>ROW(Source!A83)</f>
        <v>83</v>
      </c>
      <c r="B151">
        <v>27243028</v>
      </c>
      <c r="C151">
        <v>27243463</v>
      </c>
      <c r="D151">
        <v>20802516</v>
      </c>
      <c r="E151">
        <v>1</v>
      </c>
      <c r="F151">
        <v>1</v>
      </c>
      <c r="G151">
        <v>1</v>
      </c>
      <c r="H151">
        <v>3</v>
      </c>
      <c r="I151" t="s">
        <v>420</v>
      </c>
      <c r="J151" t="s">
        <v>421</v>
      </c>
      <c r="K151" t="s">
        <v>422</v>
      </c>
      <c r="L151">
        <v>1348</v>
      </c>
      <c r="N151">
        <v>1009</v>
      </c>
      <c r="O151" t="s">
        <v>100</v>
      </c>
      <c r="P151" t="s">
        <v>100</v>
      </c>
      <c r="Q151">
        <v>1000</v>
      </c>
      <c r="W151">
        <v>0</v>
      </c>
      <c r="X151">
        <v>-745815465</v>
      </c>
      <c r="Y151">
        <v>0.594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1</v>
      </c>
      <c r="AO151">
        <v>0</v>
      </c>
      <c r="AP151">
        <v>0</v>
      </c>
      <c r="AQ151">
        <v>1</v>
      </c>
      <c r="AR151">
        <v>0</v>
      </c>
      <c r="AT151">
        <v>0.594</v>
      </c>
      <c r="AV151">
        <v>0</v>
      </c>
      <c r="AW151">
        <v>2</v>
      </c>
      <c r="AX151">
        <v>27243478</v>
      </c>
      <c r="AY151">
        <v>1</v>
      </c>
      <c r="AZ151">
        <v>0</v>
      </c>
      <c r="BA151">
        <v>180</v>
      </c>
      <c r="BB151">
        <v>1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Y151*Source!I83</f>
        <v>1.9958399999999998</v>
      </c>
      <c r="CY151">
        <f>AA151</f>
        <v>0</v>
      </c>
      <c r="CZ151">
        <f>AE151</f>
        <v>0</v>
      </c>
      <c r="DA151">
        <f>AI151</f>
        <v>1</v>
      </c>
      <c r="DB151">
        <v>0</v>
      </c>
    </row>
    <row r="152" spans="1:106" ht="12.75">
      <c r="A152">
        <f>ROW(Source!A84)</f>
        <v>84</v>
      </c>
      <c r="B152">
        <v>27243028</v>
      </c>
      <c r="C152">
        <v>27243479</v>
      </c>
      <c r="D152">
        <v>9415249</v>
      </c>
      <c r="E152">
        <v>1</v>
      </c>
      <c r="F152">
        <v>1</v>
      </c>
      <c r="G152">
        <v>1</v>
      </c>
      <c r="H152">
        <v>1</v>
      </c>
      <c r="I152" t="s">
        <v>434</v>
      </c>
      <c r="K152" t="s">
        <v>435</v>
      </c>
      <c r="L152">
        <v>1369</v>
      </c>
      <c r="N152">
        <v>1013</v>
      </c>
      <c r="O152" t="s">
        <v>258</v>
      </c>
      <c r="P152" t="s">
        <v>258</v>
      </c>
      <c r="Q152">
        <v>1</v>
      </c>
      <c r="W152">
        <v>0</v>
      </c>
      <c r="X152">
        <v>172505351</v>
      </c>
      <c r="Y152">
        <v>35.39</v>
      </c>
      <c r="AA152">
        <v>0</v>
      </c>
      <c r="AB152">
        <v>0</v>
      </c>
      <c r="AC152">
        <v>0</v>
      </c>
      <c r="AD152">
        <v>118.3</v>
      </c>
      <c r="AE152">
        <v>0</v>
      </c>
      <c r="AF152">
        <v>0</v>
      </c>
      <c r="AG152">
        <v>0</v>
      </c>
      <c r="AH152">
        <v>118.3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1</v>
      </c>
      <c r="AR152">
        <v>0</v>
      </c>
      <c r="AT152">
        <v>35.39</v>
      </c>
      <c r="AV152">
        <v>1</v>
      </c>
      <c r="AW152">
        <v>2</v>
      </c>
      <c r="AX152">
        <v>27243486</v>
      </c>
      <c r="AY152">
        <v>2</v>
      </c>
      <c r="AZ152">
        <v>131072</v>
      </c>
      <c r="BA152">
        <v>181</v>
      </c>
      <c r="BB152">
        <v>1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4186.637</v>
      </c>
      <c r="BN152">
        <v>35.39</v>
      </c>
      <c r="BO152">
        <v>0</v>
      </c>
      <c r="BP152">
        <v>1</v>
      </c>
      <c r="BQ152">
        <v>0</v>
      </c>
      <c r="BR152">
        <v>0</v>
      </c>
      <c r="BS152">
        <v>0</v>
      </c>
      <c r="BT152">
        <v>4186.637</v>
      </c>
      <c r="BU152">
        <v>35.39</v>
      </c>
      <c r="BV152">
        <v>0</v>
      </c>
      <c r="BW152">
        <v>1</v>
      </c>
      <c r="CX152">
        <f>Y152*Source!I84</f>
        <v>17.695</v>
      </c>
      <c r="CY152">
        <f>AD152</f>
        <v>118.3</v>
      </c>
      <c r="CZ152">
        <f>AH152</f>
        <v>118.3</v>
      </c>
      <c r="DA152">
        <f>AL152</f>
        <v>1</v>
      </c>
      <c r="DB152">
        <v>0</v>
      </c>
    </row>
    <row r="153" spans="1:106" ht="12.75">
      <c r="A153">
        <f>ROW(Source!A84)</f>
        <v>84</v>
      </c>
      <c r="B153">
        <v>27243028</v>
      </c>
      <c r="C153">
        <v>27243479</v>
      </c>
      <c r="D153">
        <v>121548</v>
      </c>
      <c r="E153">
        <v>1</v>
      </c>
      <c r="F153">
        <v>1</v>
      </c>
      <c r="G153">
        <v>1</v>
      </c>
      <c r="H153">
        <v>1</v>
      </c>
      <c r="I153" t="s">
        <v>23</v>
      </c>
      <c r="K153" t="s">
        <v>276</v>
      </c>
      <c r="L153">
        <v>608254</v>
      </c>
      <c r="N153">
        <v>1013</v>
      </c>
      <c r="O153" t="s">
        <v>277</v>
      </c>
      <c r="P153" t="s">
        <v>277</v>
      </c>
      <c r="Q153">
        <v>1</v>
      </c>
      <c r="W153">
        <v>0</v>
      </c>
      <c r="X153">
        <v>-185737400</v>
      </c>
      <c r="Y153">
        <v>0.43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0</v>
      </c>
      <c r="AQ153">
        <v>1</v>
      </c>
      <c r="AR153">
        <v>0</v>
      </c>
      <c r="AT153">
        <v>0.43</v>
      </c>
      <c r="AV153">
        <v>2</v>
      </c>
      <c r="AW153">
        <v>2</v>
      </c>
      <c r="AX153">
        <v>27243487</v>
      </c>
      <c r="AY153">
        <v>1</v>
      </c>
      <c r="AZ153">
        <v>0</v>
      </c>
      <c r="BA153">
        <v>182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0.43</v>
      </c>
      <c r="BP153">
        <v>1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0.43</v>
      </c>
      <c r="BW153">
        <v>1</v>
      </c>
      <c r="CX153">
        <f>Y153*Source!I84</f>
        <v>0.215</v>
      </c>
      <c r="CY153">
        <f>AD153</f>
        <v>0</v>
      </c>
      <c r="CZ153">
        <f>AH153</f>
        <v>0</v>
      </c>
      <c r="DA153">
        <f>AL153</f>
        <v>1</v>
      </c>
      <c r="DB153">
        <v>0</v>
      </c>
    </row>
    <row r="154" spans="1:106" ht="12.75">
      <c r="A154">
        <f>ROW(Source!A84)</f>
        <v>84</v>
      </c>
      <c r="B154">
        <v>27243028</v>
      </c>
      <c r="C154">
        <v>27243479</v>
      </c>
      <c r="D154">
        <v>24262159</v>
      </c>
      <c r="E154">
        <v>1</v>
      </c>
      <c r="F154">
        <v>1</v>
      </c>
      <c r="G154">
        <v>1</v>
      </c>
      <c r="H154">
        <v>2</v>
      </c>
      <c r="I154" t="s">
        <v>281</v>
      </c>
      <c r="J154" t="s">
        <v>282</v>
      </c>
      <c r="K154" t="s">
        <v>283</v>
      </c>
      <c r="L154">
        <v>1368</v>
      </c>
      <c r="N154">
        <v>1011</v>
      </c>
      <c r="O154" t="s">
        <v>262</v>
      </c>
      <c r="P154" t="s">
        <v>262</v>
      </c>
      <c r="Q154">
        <v>1</v>
      </c>
      <c r="W154">
        <v>0</v>
      </c>
      <c r="X154">
        <v>-727480001</v>
      </c>
      <c r="Y154">
        <v>0.2</v>
      </c>
      <c r="AA154">
        <v>0</v>
      </c>
      <c r="AB154">
        <v>636.03</v>
      </c>
      <c r="AC154">
        <v>0</v>
      </c>
      <c r="AD154">
        <v>0</v>
      </c>
      <c r="AE154">
        <v>0</v>
      </c>
      <c r="AF154">
        <v>636.03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1</v>
      </c>
      <c r="AQ154">
        <v>1</v>
      </c>
      <c r="AR154">
        <v>0</v>
      </c>
      <c r="AT154">
        <v>0.2</v>
      </c>
      <c r="AV154">
        <v>0</v>
      </c>
      <c r="AW154">
        <v>2</v>
      </c>
      <c r="AX154">
        <v>27243488</v>
      </c>
      <c r="AY154">
        <v>2</v>
      </c>
      <c r="AZ154">
        <v>98304</v>
      </c>
      <c r="BA154">
        <v>183</v>
      </c>
      <c r="BB154">
        <v>1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127.206</v>
      </c>
      <c r="BL154">
        <v>0</v>
      </c>
      <c r="BM154">
        <v>0</v>
      </c>
      <c r="BN154">
        <v>0</v>
      </c>
      <c r="BO154">
        <v>0</v>
      </c>
      <c r="BP154">
        <v>1</v>
      </c>
      <c r="BQ154">
        <v>0</v>
      </c>
      <c r="BR154">
        <v>127.206</v>
      </c>
      <c r="BS154">
        <v>0</v>
      </c>
      <c r="BT154">
        <v>0</v>
      </c>
      <c r="BU154">
        <v>0</v>
      </c>
      <c r="BV154">
        <v>0</v>
      </c>
      <c r="BW154">
        <v>1</v>
      </c>
      <c r="CX154">
        <f>Y154*Source!I84</f>
        <v>0.1</v>
      </c>
      <c r="CY154">
        <f>AB154</f>
        <v>636.03</v>
      </c>
      <c r="CZ154">
        <f>AF154</f>
        <v>636.03</v>
      </c>
      <c r="DA154">
        <f>AJ154</f>
        <v>1</v>
      </c>
      <c r="DB154">
        <v>0</v>
      </c>
    </row>
    <row r="155" spans="1:106" ht="12.75">
      <c r="A155">
        <f>ROW(Source!A84)</f>
        <v>84</v>
      </c>
      <c r="B155">
        <v>27243028</v>
      </c>
      <c r="C155">
        <v>27243479</v>
      </c>
      <c r="D155">
        <v>24312004</v>
      </c>
      <c r="E155">
        <v>1</v>
      </c>
      <c r="F155">
        <v>1</v>
      </c>
      <c r="G155">
        <v>1</v>
      </c>
      <c r="H155">
        <v>2</v>
      </c>
      <c r="I155" t="s">
        <v>411</v>
      </c>
      <c r="J155" t="s">
        <v>436</v>
      </c>
      <c r="K155" t="s">
        <v>413</v>
      </c>
      <c r="L155">
        <v>1368</v>
      </c>
      <c r="N155">
        <v>1011</v>
      </c>
      <c r="O155" t="s">
        <v>262</v>
      </c>
      <c r="P155" t="s">
        <v>262</v>
      </c>
      <c r="Q155">
        <v>1</v>
      </c>
      <c r="W155">
        <v>0</v>
      </c>
      <c r="X155">
        <v>1499254570</v>
      </c>
      <c r="Y155">
        <v>0.23</v>
      </c>
      <c r="AA155">
        <v>0</v>
      </c>
      <c r="AB155">
        <v>258.94</v>
      </c>
      <c r="AC155">
        <v>0</v>
      </c>
      <c r="AD155">
        <v>0</v>
      </c>
      <c r="AE155">
        <v>0</v>
      </c>
      <c r="AF155">
        <v>258.94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1</v>
      </c>
      <c r="AQ155">
        <v>1</v>
      </c>
      <c r="AR155">
        <v>0</v>
      </c>
      <c r="AT155">
        <v>0.23</v>
      </c>
      <c r="AV155">
        <v>0</v>
      </c>
      <c r="AW155">
        <v>2</v>
      </c>
      <c r="AX155">
        <v>27243489</v>
      </c>
      <c r="AY155">
        <v>2</v>
      </c>
      <c r="AZ155">
        <v>98304</v>
      </c>
      <c r="BA155">
        <v>184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59.556200000000004</v>
      </c>
      <c r="BL155">
        <v>0</v>
      </c>
      <c r="BM155">
        <v>0</v>
      </c>
      <c r="BN155">
        <v>0</v>
      </c>
      <c r="BO155">
        <v>0</v>
      </c>
      <c r="BP155">
        <v>1</v>
      </c>
      <c r="BQ155">
        <v>0</v>
      </c>
      <c r="BR155">
        <v>59.556200000000004</v>
      </c>
      <c r="BS155">
        <v>0</v>
      </c>
      <c r="BT155">
        <v>0</v>
      </c>
      <c r="BU155">
        <v>0</v>
      </c>
      <c r="BV155">
        <v>0</v>
      </c>
      <c r="BW155">
        <v>1</v>
      </c>
      <c r="CX155">
        <f>Y155*Source!I84</f>
        <v>0.115</v>
      </c>
      <c r="CY155">
        <f>AB155</f>
        <v>258.94</v>
      </c>
      <c r="CZ155">
        <f>AF155</f>
        <v>258.94</v>
      </c>
      <c r="DA155">
        <f>AJ155</f>
        <v>1</v>
      </c>
      <c r="DB155">
        <v>0</v>
      </c>
    </row>
    <row r="156" spans="1:106" ht="12.75">
      <c r="A156">
        <f>ROW(Source!A84)</f>
        <v>84</v>
      </c>
      <c r="B156">
        <v>27243028</v>
      </c>
      <c r="C156">
        <v>27243479</v>
      </c>
      <c r="D156">
        <v>24306950</v>
      </c>
      <c r="E156">
        <v>1</v>
      </c>
      <c r="F156">
        <v>1</v>
      </c>
      <c r="G156">
        <v>1</v>
      </c>
      <c r="H156">
        <v>3</v>
      </c>
      <c r="I156" t="s">
        <v>437</v>
      </c>
      <c r="J156" t="s">
        <v>438</v>
      </c>
      <c r="K156" t="s">
        <v>439</v>
      </c>
      <c r="L156">
        <v>1339</v>
      </c>
      <c r="N156">
        <v>1007</v>
      </c>
      <c r="O156" t="s">
        <v>302</v>
      </c>
      <c r="P156" t="s">
        <v>302</v>
      </c>
      <c r="Q156">
        <v>1</v>
      </c>
      <c r="W156">
        <v>0</v>
      </c>
      <c r="X156">
        <v>-1962984691</v>
      </c>
      <c r="Y156">
        <v>0.253</v>
      </c>
      <c r="AA156">
        <v>3305.08</v>
      </c>
      <c r="AB156">
        <v>0</v>
      </c>
      <c r="AC156">
        <v>0</v>
      </c>
      <c r="AD156">
        <v>0</v>
      </c>
      <c r="AE156">
        <v>3305.08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1</v>
      </c>
      <c r="AR156">
        <v>0</v>
      </c>
      <c r="AT156">
        <v>0.253</v>
      </c>
      <c r="AV156">
        <v>0</v>
      </c>
      <c r="AW156">
        <v>2</v>
      </c>
      <c r="AX156">
        <v>27243490</v>
      </c>
      <c r="AY156">
        <v>2</v>
      </c>
      <c r="AZ156">
        <v>16384</v>
      </c>
      <c r="BA156">
        <v>185</v>
      </c>
      <c r="BB156">
        <v>1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836.18524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1</v>
      </c>
      <c r="BQ156">
        <v>836.18524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</v>
      </c>
      <c r="CX156">
        <f>Y156*Source!I84</f>
        <v>0.1265</v>
      </c>
      <c r="CY156">
        <f>AA156</f>
        <v>3305.08</v>
      </c>
      <c r="CZ156">
        <f>AE156</f>
        <v>3305.08</v>
      </c>
      <c r="DA156">
        <f>AI156</f>
        <v>1</v>
      </c>
      <c r="DB156">
        <v>0</v>
      </c>
    </row>
    <row r="157" spans="1:106" ht="12.75">
      <c r="A157">
        <f>ROW(Source!A84)</f>
        <v>84</v>
      </c>
      <c r="B157">
        <v>27243028</v>
      </c>
      <c r="C157">
        <v>27243479</v>
      </c>
      <c r="D157">
        <v>24315004</v>
      </c>
      <c r="E157">
        <v>1</v>
      </c>
      <c r="F157">
        <v>1</v>
      </c>
      <c r="G157">
        <v>1</v>
      </c>
      <c r="H157">
        <v>3</v>
      </c>
      <c r="I157" t="s">
        <v>440</v>
      </c>
      <c r="J157" t="s">
        <v>441</v>
      </c>
      <c r="K157" t="s">
        <v>442</v>
      </c>
      <c r="L157">
        <v>1356</v>
      </c>
      <c r="N157">
        <v>1010</v>
      </c>
      <c r="O157" t="s">
        <v>443</v>
      </c>
      <c r="P157" t="s">
        <v>443</v>
      </c>
      <c r="Q157">
        <v>1000</v>
      </c>
      <c r="W157">
        <v>0</v>
      </c>
      <c r="X157">
        <v>520342064</v>
      </c>
      <c r="Y157">
        <v>0.402</v>
      </c>
      <c r="AA157">
        <v>10653.39</v>
      </c>
      <c r="AB157">
        <v>0</v>
      </c>
      <c r="AC157">
        <v>0</v>
      </c>
      <c r="AD157">
        <v>0</v>
      </c>
      <c r="AE157">
        <v>10653.39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1</v>
      </c>
      <c r="AR157">
        <v>0</v>
      </c>
      <c r="AT157">
        <v>0.402</v>
      </c>
      <c r="AV157">
        <v>0</v>
      </c>
      <c r="AW157">
        <v>2</v>
      </c>
      <c r="AX157">
        <v>27243491</v>
      </c>
      <c r="AY157">
        <v>2</v>
      </c>
      <c r="AZ157">
        <v>16384</v>
      </c>
      <c r="BA157">
        <v>186</v>
      </c>
      <c r="BB157">
        <v>1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4282.66278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1</v>
      </c>
      <c r="BQ157">
        <v>4282.66278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1</v>
      </c>
      <c r="CX157">
        <f>Y157*Source!I84</f>
        <v>0.201</v>
      </c>
      <c r="CY157">
        <f>AA157</f>
        <v>10653.39</v>
      </c>
      <c r="CZ157">
        <f>AE157</f>
        <v>10653.39</v>
      </c>
      <c r="DA157">
        <f>AI157</f>
        <v>1</v>
      </c>
      <c r="DB157">
        <v>0</v>
      </c>
    </row>
    <row r="158" spans="1:106" ht="12.75">
      <c r="A158">
        <f>ROW(Source!A85)</f>
        <v>85</v>
      </c>
      <c r="B158">
        <v>27243028</v>
      </c>
      <c r="C158">
        <v>27243493</v>
      </c>
      <c r="D158">
        <v>0</v>
      </c>
      <c r="E158">
        <v>0</v>
      </c>
      <c r="F158">
        <v>1</v>
      </c>
      <c r="G158">
        <v>1</v>
      </c>
      <c r="H158">
        <v>2</v>
      </c>
      <c r="K158" t="s">
        <v>423</v>
      </c>
      <c r="L158">
        <v>1368</v>
      </c>
      <c r="N158">
        <v>1011</v>
      </c>
      <c r="O158" t="s">
        <v>262</v>
      </c>
      <c r="P158" t="s">
        <v>262</v>
      </c>
      <c r="Q158">
        <v>1</v>
      </c>
      <c r="W158">
        <v>0</v>
      </c>
      <c r="X158">
        <v>1613438681</v>
      </c>
      <c r="Y158">
        <v>1.518</v>
      </c>
      <c r="AA158">
        <v>0</v>
      </c>
      <c r="AB158">
        <v>117.36</v>
      </c>
      <c r="AC158">
        <v>0</v>
      </c>
      <c r="AD158">
        <v>0</v>
      </c>
      <c r="AE158">
        <v>0</v>
      </c>
      <c r="AF158">
        <v>117.36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1</v>
      </c>
      <c r="AQ158">
        <v>1</v>
      </c>
      <c r="AR158">
        <v>0</v>
      </c>
      <c r="AT158">
        <v>1.518</v>
      </c>
      <c r="AV158">
        <v>0</v>
      </c>
      <c r="AW158">
        <v>1</v>
      </c>
      <c r="AX158">
        <v>-1</v>
      </c>
      <c r="AY158">
        <v>0</v>
      </c>
      <c r="AZ158">
        <v>0</v>
      </c>
      <c r="BB158">
        <v>1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178.15248</v>
      </c>
      <c r="BL158">
        <v>0</v>
      </c>
      <c r="BM158">
        <v>0</v>
      </c>
      <c r="BN158">
        <v>0</v>
      </c>
      <c r="BO158">
        <v>0</v>
      </c>
      <c r="BP158">
        <v>1</v>
      </c>
      <c r="BQ158">
        <v>0</v>
      </c>
      <c r="BR158">
        <v>178.15248</v>
      </c>
      <c r="BS158">
        <v>0</v>
      </c>
      <c r="BT158">
        <v>0</v>
      </c>
      <c r="BU158">
        <v>0</v>
      </c>
      <c r="BV158">
        <v>0</v>
      </c>
      <c r="BW158">
        <v>1</v>
      </c>
      <c r="CX158">
        <f>Y158*Source!I85</f>
        <v>1.518</v>
      </c>
      <c r="CY158">
        <f>AB158</f>
        <v>117.36</v>
      </c>
      <c r="CZ158">
        <f>AF158</f>
        <v>117.36</v>
      </c>
      <c r="DA158">
        <f>AJ158</f>
        <v>1</v>
      </c>
      <c r="DB158">
        <v>0</v>
      </c>
    </row>
    <row r="159" spans="1:106" ht="12.75">
      <c r="A159">
        <f>ROW(Source!A86)</f>
        <v>86</v>
      </c>
      <c r="B159">
        <v>27243028</v>
      </c>
      <c r="C159">
        <v>27243495</v>
      </c>
      <c r="D159">
        <v>121548</v>
      </c>
      <c r="E159">
        <v>1</v>
      </c>
      <c r="F159">
        <v>1</v>
      </c>
      <c r="G159">
        <v>1</v>
      </c>
      <c r="H159">
        <v>1</v>
      </c>
      <c r="I159" t="s">
        <v>23</v>
      </c>
      <c r="K159" t="s">
        <v>276</v>
      </c>
      <c r="L159">
        <v>608254</v>
      </c>
      <c r="N159">
        <v>1013</v>
      </c>
      <c r="O159" t="s">
        <v>277</v>
      </c>
      <c r="P159" t="s">
        <v>277</v>
      </c>
      <c r="Q159">
        <v>1</v>
      </c>
      <c r="W159">
        <v>0</v>
      </c>
      <c r="X159">
        <v>-185737400</v>
      </c>
      <c r="Y159">
        <v>0.024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1</v>
      </c>
      <c r="AR159">
        <v>0</v>
      </c>
      <c r="AT159">
        <v>0.024</v>
      </c>
      <c r="AV159">
        <v>2</v>
      </c>
      <c r="AW159">
        <v>2</v>
      </c>
      <c r="AX159">
        <v>27243498</v>
      </c>
      <c r="AY159">
        <v>1</v>
      </c>
      <c r="AZ159">
        <v>0</v>
      </c>
      <c r="BA159">
        <v>188</v>
      </c>
      <c r="BB159">
        <v>1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0.024</v>
      </c>
      <c r="BP159">
        <v>1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0.024</v>
      </c>
      <c r="BW159">
        <v>1</v>
      </c>
      <c r="CX159">
        <f>Y159*Source!I86</f>
        <v>0.024</v>
      </c>
      <c r="CY159">
        <f>AD159</f>
        <v>0</v>
      </c>
      <c r="CZ159">
        <f>AH159</f>
        <v>0</v>
      </c>
      <c r="DA159">
        <f>AL159</f>
        <v>1</v>
      </c>
      <c r="DB159">
        <v>0</v>
      </c>
    </row>
    <row r="160" spans="1:106" ht="12.75">
      <c r="A160">
        <f>ROW(Source!A86)</f>
        <v>86</v>
      </c>
      <c r="B160">
        <v>27243028</v>
      </c>
      <c r="C160">
        <v>27243495</v>
      </c>
      <c r="D160">
        <v>1467629</v>
      </c>
      <c r="E160">
        <v>1</v>
      </c>
      <c r="F160">
        <v>1</v>
      </c>
      <c r="G160">
        <v>1</v>
      </c>
      <c r="H160">
        <v>2</v>
      </c>
      <c r="I160" t="s">
        <v>424</v>
      </c>
      <c r="J160" t="s">
        <v>425</v>
      </c>
      <c r="K160" t="s">
        <v>426</v>
      </c>
      <c r="L160">
        <v>1480</v>
      </c>
      <c r="N160">
        <v>1013</v>
      </c>
      <c r="O160" t="s">
        <v>427</v>
      </c>
      <c r="P160" t="s">
        <v>428</v>
      </c>
      <c r="Q160">
        <v>1</v>
      </c>
      <c r="W160">
        <v>0</v>
      </c>
      <c r="X160">
        <v>-2089524230</v>
      </c>
      <c r="Y160">
        <v>0.024</v>
      </c>
      <c r="AA160">
        <v>0</v>
      </c>
      <c r="AB160">
        <v>707.78</v>
      </c>
      <c r="AC160">
        <v>0</v>
      </c>
      <c r="AD160">
        <v>0</v>
      </c>
      <c r="AE160">
        <v>0</v>
      </c>
      <c r="AF160">
        <v>707.78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1</v>
      </c>
      <c r="AR160">
        <v>0</v>
      </c>
      <c r="AT160">
        <v>0.024</v>
      </c>
      <c r="AV160">
        <v>0</v>
      </c>
      <c r="AW160">
        <v>2</v>
      </c>
      <c r="AX160">
        <v>27243499</v>
      </c>
      <c r="AY160">
        <v>2</v>
      </c>
      <c r="AZ160">
        <v>98304</v>
      </c>
      <c r="BA160">
        <v>189</v>
      </c>
      <c r="BB160">
        <v>1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16.98672</v>
      </c>
      <c r="BL160">
        <v>0</v>
      </c>
      <c r="BM160">
        <v>0</v>
      </c>
      <c r="BN160">
        <v>0</v>
      </c>
      <c r="BO160">
        <v>0</v>
      </c>
      <c r="BP160">
        <v>1</v>
      </c>
      <c r="BQ160">
        <v>0</v>
      </c>
      <c r="BR160">
        <v>16.98672</v>
      </c>
      <c r="BS160">
        <v>0</v>
      </c>
      <c r="BT160">
        <v>0</v>
      </c>
      <c r="BU160">
        <v>0</v>
      </c>
      <c r="BV160">
        <v>0</v>
      </c>
      <c r="BW160">
        <v>1</v>
      </c>
      <c r="CX160">
        <f>Y160*Source!I86</f>
        <v>0.024</v>
      </c>
      <c r="CY160">
        <f>AB160</f>
        <v>707.78</v>
      </c>
      <c r="CZ160">
        <f>AF160</f>
        <v>707.78</v>
      </c>
      <c r="DA160">
        <f>AJ160</f>
        <v>1</v>
      </c>
      <c r="DB16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27243132</v>
      </c>
      <c r="C1">
        <v>27243129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256</v>
      </c>
      <c r="K1" t="s">
        <v>257</v>
      </c>
      <c r="L1">
        <v>1369</v>
      </c>
      <c r="N1">
        <v>1013</v>
      </c>
      <c r="O1" t="s">
        <v>258</v>
      </c>
      <c r="P1" t="s">
        <v>258</v>
      </c>
      <c r="Q1">
        <v>1</v>
      </c>
      <c r="X1">
        <v>15.9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15.9</v>
      </c>
      <c r="AH1">
        <v>2</v>
      </c>
      <c r="AI1">
        <v>27243130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27243133</v>
      </c>
      <c r="C2">
        <v>27243129</v>
      </c>
      <c r="D2">
        <v>24322593</v>
      </c>
      <c r="E2">
        <v>1</v>
      </c>
      <c r="F2">
        <v>1</v>
      </c>
      <c r="G2">
        <v>1</v>
      </c>
      <c r="H2">
        <v>2</v>
      </c>
      <c r="I2" t="s">
        <v>259</v>
      </c>
      <c r="J2" t="s">
        <v>260</v>
      </c>
      <c r="K2" t="s">
        <v>261</v>
      </c>
      <c r="L2">
        <v>1368</v>
      </c>
      <c r="N2">
        <v>1011</v>
      </c>
      <c r="O2" t="s">
        <v>262</v>
      </c>
      <c r="P2" t="s">
        <v>262</v>
      </c>
      <c r="Q2">
        <v>1</v>
      </c>
      <c r="X2">
        <v>4.6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G2">
        <v>4.6</v>
      </c>
      <c r="AH2">
        <v>2</v>
      </c>
      <c r="AI2">
        <v>27243131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ROW(Source!A25)</f>
        <v>25</v>
      </c>
      <c r="B3">
        <v>27243139</v>
      </c>
      <c r="C3">
        <v>27243134</v>
      </c>
      <c r="D3">
        <v>9415650</v>
      </c>
      <c r="E3">
        <v>1</v>
      </c>
      <c r="F3">
        <v>1</v>
      </c>
      <c r="G3">
        <v>1</v>
      </c>
      <c r="H3">
        <v>1</v>
      </c>
      <c r="I3" t="s">
        <v>263</v>
      </c>
      <c r="K3" t="s">
        <v>264</v>
      </c>
      <c r="L3">
        <v>1369</v>
      </c>
      <c r="N3">
        <v>1013</v>
      </c>
      <c r="O3" t="s">
        <v>258</v>
      </c>
      <c r="P3" t="s">
        <v>258</v>
      </c>
      <c r="Q3">
        <v>1</v>
      </c>
      <c r="X3">
        <v>22.5</v>
      </c>
      <c r="Y3">
        <v>0</v>
      </c>
      <c r="Z3">
        <v>0</v>
      </c>
      <c r="AA3">
        <v>0</v>
      </c>
      <c r="AB3">
        <v>8.38</v>
      </c>
      <c r="AC3">
        <v>0</v>
      </c>
      <c r="AD3">
        <v>1</v>
      </c>
      <c r="AE3">
        <v>1</v>
      </c>
      <c r="AF3" t="s">
        <v>28</v>
      </c>
      <c r="AG3">
        <v>18</v>
      </c>
      <c r="AH3">
        <v>2</v>
      </c>
      <c r="AI3">
        <v>27243135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27243140</v>
      </c>
      <c r="C4">
        <v>27243134</v>
      </c>
      <c r="D4">
        <v>24281578</v>
      </c>
      <c r="E4">
        <v>1</v>
      </c>
      <c r="F4">
        <v>1</v>
      </c>
      <c r="G4">
        <v>1</v>
      </c>
      <c r="H4">
        <v>2</v>
      </c>
      <c r="I4" t="s">
        <v>265</v>
      </c>
      <c r="J4" t="s">
        <v>266</v>
      </c>
      <c r="K4" t="s">
        <v>267</v>
      </c>
      <c r="L4">
        <v>1368</v>
      </c>
      <c r="N4">
        <v>1011</v>
      </c>
      <c r="O4" t="s">
        <v>262</v>
      </c>
      <c r="P4" t="s">
        <v>262</v>
      </c>
      <c r="Q4">
        <v>1</v>
      </c>
      <c r="X4">
        <v>0.23</v>
      </c>
      <c r="Y4">
        <v>0</v>
      </c>
      <c r="Z4">
        <v>1.95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28</v>
      </c>
      <c r="AG4">
        <v>0.18400000000000002</v>
      </c>
      <c r="AH4">
        <v>2</v>
      </c>
      <c r="AI4">
        <v>27243136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ROW(Source!A25)</f>
        <v>25</v>
      </c>
      <c r="B5">
        <v>27243141</v>
      </c>
      <c r="C5">
        <v>27243134</v>
      </c>
      <c r="D5">
        <v>24269660</v>
      </c>
      <c r="E5">
        <v>1</v>
      </c>
      <c r="F5">
        <v>1</v>
      </c>
      <c r="G5">
        <v>1</v>
      </c>
      <c r="H5">
        <v>2</v>
      </c>
      <c r="I5" t="s">
        <v>268</v>
      </c>
      <c r="J5" t="s">
        <v>269</v>
      </c>
      <c r="K5" t="s">
        <v>270</v>
      </c>
      <c r="L5">
        <v>1368</v>
      </c>
      <c r="N5">
        <v>1011</v>
      </c>
      <c r="O5" t="s">
        <v>262</v>
      </c>
      <c r="P5" t="s">
        <v>262</v>
      </c>
      <c r="Q5">
        <v>1</v>
      </c>
      <c r="X5">
        <v>0.33</v>
      </c>
      <c r="Y5">
        <v>0</v>
      </c>
      <c r="Z5">
        <v>5.09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28</v>
      </c>
      <c r="AG5">
        <v>0.264</v>
      </c>
      <c r="AH5">
        <v>2</v>
      </c>
      <c r="AI5">
        <v>27243137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27243142</v>
      </c>
      <c r="C6">
        <v>27243134</v>
      </c>
      <c r="D6">
        <v>24262102</v>
      </c>
      <c r="E6">
        <v>1</v>
      </c>
      <c r="F6">
        <v>1</v>
      </c>
      <c r="G6">
        <v>1</v>
      </c>
      <c r="H6">
        <v>2</v>
      </c>
      <c r="I6" t="s">
        <v>271</v>
      </c>
      <c r="J6" t="s">
        <v>272</v>
      </c>
      <c r="K6" t="s">
        <v>273</v>
      </c>
      <c r="L6">
        <v>1368</v>
      </c>
      <c r="N6">
        <v>1011</v>
      </c>
      <c r="O6" t="s">
        <v>262</v>
      </c>
      <c r="P6" t="s">
        <v>262</v>
      </c>
      <c r="Q6">
        <v>1</v>
      </c>
      <c r="X6">
        <v>0.36</v>
      </c>
      <c r="Y6">
        <v>0</v>
      </c>
      <c r="Z6">
        <v>87.17</v>
      </c>
      <c r="AA6">
        <v>11.6</v>
      </c>
      <c r="AB6">
        <v>0</v>
      </c>
      <c r="AC6">
        <v>0</v>
      </c>
      <c r="AD6">
        <v>1</v>
      </c>
      <c r="AE6">
        <v>0</v>
      </c>
      <c r="AF6" t="s">
        <v>28</v>
      </c>
      <c r="AG6">
        <v>0.288</v>
      </c>
      <c r="AH6">
        <v>2</v>
      </c>
      <c r="AI6">
        <v>27243138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27243143</v>
      </c>
      <c r="C7">
        <v>27243134</v>
      </c>
      <c r="D7">
        <v>24311643</v>
      </c>
      <c r="E7">
        <v>1</v>
      </c>
      <c r="F7">
        <v>1</v>
      </c>
      <c r="G7">
        <v>1</v>
      </c>
      <c r="H7">
        <v>3</v>
      </c>
      <c r="I7" t="s">
        <v>444</v>
      </c>
      <c r="J7" t="s">
        <v>445</v>
      </c>
      <c r="K7" t="s">
        <v>446</v>
      </c>
      <c r="L7">
        <v>1348</v>
      </c>
      <c r="N7">
        <v>1009</v>
      </c>
      <c r="O7" t="s">
        <v>100</v>
      </c>
      <c r="P7" t="s">
        <v>100</v>
      </c>
      <c r="Q7">
        <v>1000</v>
      </c>
      <c r="X7">
        <v>0.0031</v>
      </c>
      <c r="Y7">
        <v>5989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0.0031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27243144</v>
      </c>
      <c r="C8">
        <v>27243134</v>
      </c>
      <c r="D8">
        <v>24324402</v>
      </c>
      <c r="E8">
        <v>1</v>
      </c>
      <c r="F8">
        <v>1</v>
      </c>
      <c r="G8">
        <v>1</v>
      </c>
      <c r="H8">
        <v>3</v>
      </c>
      <c r="I8" t="s">
        <v>447</v>
      </c>
      <c r="J8" t="s">
        <v>448</v>
      </c>
      <c r="K8" t="s">
        <v>449</v>
      </c>
      <c r="L8">
        <v>1348</v>
      </c>
      <c r="N8">
        <v>1009</v>
      </c>
      <c r="O8" t="s">
        <v>100</v>
      </c>
      <c r="P8" t="s">
        <v>100</v>
      </c>
      <c r="Q8">
        <v>1000</v>
      </c>
      <c r="X8">
        <v>0.00258</v>
      </c>
      <c r="Y8">
        <v>1695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0.00258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27243145</v>
      </c>
      <c r="C9">
        <v>27243134</v>
      </c>
      <c r="D9">
        <v>24262125</v>
      </c>
      <c r="E9">
        <v>1</v>
      </c>
      <c r="F9">
        <v>1</v>
      </c>
      <c r="G9">
        <v>1</v>
      </c>
      <c r="H9">
        <v>3</v>
      </c>
      <c r="I9" t="s">
        <v>309</v>
      </c>
      <c r="J9" t="s">
        <v>310</v>
      </c>
      <c r="K9" t="s">
        <v>311</v>
      </c>
      <c r="L9">
        <v>1348</v>
      </c>
      <c r="N9">
        <v>1009</v>
      </c>
      <c r="O9" t="s">
        <v>100</v>
      </c>
      <c r="P9" t="s">
        <v>100</v>
      </c>
      <c r="Q9">
        <v>1000</v>
      </c>
      <c r="X9">
        <v>0.0075</v>
      </c>
      <c r="Y9">
        <v>9040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0.0075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27243146</v>
      </c>
      <c r="C10">
        <v>27243134</v>
      </c>
      <c r="D10">
        <v>24297419</v>
      </c>
      <c r="E10">
        <v>1</v>
      </c>
      <c r="F10">
        <v>1</v>
      </c>
      <c r="G10">
        <v>1</v>
      </c>
      <c r="H10">
        <v>3</v>
      </c>
      <c r="I10" t="s">
        <v>450</v>
      </c>
      <c r="J10" t="s">
        <v>451</v>
      </c>
      <c r="K10" t="s">
        <v>452</v>
      </c>
      <c r="L10">
        <v>1327</v>
      </c>
      <c r="N10">
        <v>1005</v>
      </c>
      <c r="O10" t="s">
        <v>322</v>
      </c>
      <c r="P10" t="s">
        <v>322</v>
      </c>
      <c r="Q10">
        <v>1</v>
      </c>
      <c r="X10">
        <v>1.45</v>
      </c>
      <c r="Y10">
        <v>5.71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1.45</v>
      </c>
      <c r="AH10">
        <v>3</v>
      </c>
      <c r="AI10">
        <v>-1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27243147</v>
      </c>
      <c r="C11">
        <v>27243134</v>
      </c>
      <c r="D11">
        <v>24262152</v>
      </c>
      <c r="E11">
        <v>1</v>
      </c>
      <c r="F11">
        <v>1</v>
      </c>
      <c r="G11">
        <v>1</v>
      </c>
      <c r="H11">
        <v>3</v>
      </c>
      <c r="I11" t="s">
        <v>358</v>
      </c>
      <c r="J11" t="s">
        <v>359</v>
      </c>
      <c r="K11" t="s">
        <v>360</v>
      </c>
      <c r="L11">
        <v>1348</v>
      </c>
      <c r="N11">
        <v>1009</v>
      </c>
      <c r="O11" t="s">
        <v>100</v>
      </c>
      <c r="P11" t="s">
        <v>100</v>
      </c>
      <c r="Q11">
        <v>1000</v>
      </c>
      <c r="X11">
        <v>0.003</v>
      </c>
      <c r="Y11">
        <v>11978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0.003</v>
      </c>
      <c r="AH11">
        <v>3</v>
      </c>
      <c r="AI11">
        <v>-1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27243148</v>
      </c>
      <c r="C12">
        <v>27243134</v>
      </c>
      <c r="D12">
        <v>24262153</v>
      </c>
      <c r="E12">
        <v>1</v>
      </c>
      <c r="F12">
        <v>1</v>
      </c>
      <c r="G12">
        <v>1</v>
      </c>
      <c r="H12">
        <v>3</v>
      </c>
      <c r="I12" t="s">
        <v>453</v>
      </c>
      <c r="J12" t="s">
        <v>454</v>
      </c>
      <c r="K12" t="s">
        <v>455</v>
      </c>
      <c r="L12">
        <v>1339</v>
      </c>
      <c r="N12">
        <v>1007</v>
      </c>
      <c r="O12" t="s">
        <v>302</v>
      </c>
      <c r="P12" t="s">
        <v>302</v>
      </c>
      <c r="Q12">
        <v>1</v>
      </c>
      <c r="X12">
        <v>0.93</v>
      </c>
      <c r="Y12">
        <v>1980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0.93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27243149</v>
      </c>
      <c r="C13">
        <v>27243134</v>
      </c>
      <c r="D13">
        <v>24301923</v>
      </c>
      <c r="E13">
        <v>1</v>
      </c>
      <c r="F13">
        <v>1</v>
      </c>
      <c r="G13">
        <v>1</v>
      </c>
      <c r="H13">
        <v>3</v>
      </c>
      <c r="I13" t="s">
        <v>374</v>
      </c>
      <c r="J13" t="s">
        <v>456</v>
      </c>
      <c r="K13" t="s">
        <v>457</v>
      </c>
      <c r="L13">
        <v>1339</v>
      </c>
      <c r="N13">
        <v>1007</v>
      </c>
      <c r="O13" t="s">
        <v>302</v>
      </c>
      <c r="P13" t="s">
        <v>302</v>
      </c>
      <c r="Q13">
        <v>1</v>
      </c>
      <c r="X13">
        <v>0.12</v>
      </c>
      <c r="Y13">
        <v>1320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0.12</v>
      </c>
      <c r="AH13">
        <v>3</v>
      </c>
      <c r="AI13">
        <v>-1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27243150</v>
      </c>
      <c r="C14">
        <v>27243134</v>
      </c>
      <c r="D14">
        <v>24297541</v>
      </c>
      <c r="E14">
        <v>1</v>
      </c>
      <c r="F14">
        <v>1</v>
      </c>
      <c r="G14">
        <v>1</v>
      </c>
      <c r="H14">
        <v>3</v>
      </c>
      <c r="I14" t="s">
        <v>458</v>
      </c>
      <c r="J14" t="s">
        <v>459</v>
      </c>
      <c r="K14" t="s">
        <v>460</v>
      </c>
      <c r="L14">
        <v>1339</v>
      </c>
      <c r="N14">
        <v>1007</v>
      </c>
      <c r="O14" t="s">
        <v>302</v>
      </c>
      <c r="P14" t="s">
        <v>302</v>
      </c>
      <c r="Q14">
        <v>1</v>
      </c>
      <c r="X14">
        <v>0.01</v>
      </c>
      <c r="Y14">
        <v>832.7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0.01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27243151</v>
      </c>
      <c r="C15">
        <v>27243134</v>
      </c>
      <c r="D15">
        <v>24313323</v>
      </c>
      <c r="E15">
        <v>1</v>
      </c>
      <c r="F15">
        <v>1</v>
      </c>
      <c r="G15">
        <v>1</v>
      </c>
      <c r="H15">
        <v>3</v>
      </c>
      <c r="I15" t="s">
        <v>461</v>
      </c>
      <c r="J15" t="s">
        <v>462</v>
      </c>
      <c r="K15" t="s">
        <v>463</v>
      </c>
      <c r="L15">
        <v>1348</v>
      </c>
      <c r="N15">
        <v>1009</v>
      </c>
      <c r="O15" t="s">
        <v>100</v>
      </c>
      <c r="P15" t="s">
        <v>100</v>
      </c>
      <c r="Q15">
        <v>1000</v>
      </c>
      <c r="X15">
        <v>0.00301</v>
      </c>
      <c r="Y15">
        <v>15255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0.00301</v>
      </c>
      <c r="AH15">
        <v>3</v>
      </c>
      <c r="AI15">
        <v>-1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27243173</v>
      </c>
      <c r="C16">
        <v>27243152</v>
      </c>
      <c r="D16">
        <v>9415666</v>
      </c>
      <c r="E16">
        <v>1</v>
      </c>
      <c r="F16">
        <v>1</v>
      </c>
      <c r="G16">
        <v>1</v>
      </c>
      <c r="H16">
        <v>1</v>
      </c>
      <c r="I16" t="s">
        <v>274</v>
      </c>
      <c r="K16" t="s">
        <v>275</v>
      </c>
      <c r="L16">
        <v>1369</v>
      </c>
      <c r="N16">
        <v>1013</v>
      </c>
      <c r="O16" t="s">
        <v>258</v>
      </c>
      <c r="P16" t="s">
        <v>258</v>
      </c>
      <c r="Q16">
        <v>1</v>
      </c>
      <c r="X16">
        <v>35.5</v>
      </c>
      <c r="Y16">
        <v>0</v>
      </c>
      <c r="Z16">
        <v>0</v>
      </c>
      <c r="AA16">
        <v>0</v>
      </c>
      <c r="AB16">
        <v>8.74</v>
      </c>
      <c r="AC16">
        <v>0</v>
      </c>
      <c r="AD16">
        <v>1</v>
      </c>
      <c r="AE16">
        <v>1</v>
      </c>
      <c r="AF16" t="s">
        <v>39</v>
      </c>
      <c r="AG16">
        <v>40.824999999999996</v>
      </c>
      <c r="AH16">
        <v>2</v>
      </c>
      <c r="AI16">
        <v>27243153</v>
      </c>
      <c r="AJ16">
        <v>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27243174</v>
      </c>
      <c r="C17">
        <v>27243152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23</v>
      </c>
      <c r="K17" t="s">
        <v>276</v>
      </c>
      <c r="L17">
        <v>608254</v>
      </c>
      <c r="N17">
        <v>1013</v>
      </c>
      <c r="O17" t="s">
        <v>277</v>
      </c>
      <c r="P17" t="s">
        <v>277</v>
      </c>
      <c r="Q17">
        <v>1</v>
      </c>
      <c r="X17">
        <v>2.61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38</v>
      </c>
      <c r="AG17">
        <v>3.2624999999999997</v>
      </c>
      <c r="AH17">
        <v>2</v>
      </c>
      <c r="AI17">
        <v>27243154</v>
      </c>
      <c r="AJ17">
        <v>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27243175</v>
      </c>
      <c r="C18">
        <v>27243152</v>
      </c>
      <c r="D18">
        <v>24316122</v>
      </c>
      <c r="E18">
        <v>1</v>
      </c>
      <c r="F18">
        <v>1</v>
      </c>
      <c r="G18">
        <v>1</v>
      </c>
      <c r="H18">
        <v>2</v>
      </c>
      <c r="I18" t="s">
        <v>278</v>
      </c>
      <c r="J18" t="s">
        <v>279</v>
      </c>
      <c r="K18" t="s">
        <v>280</v>
      </c>
      <c r="L18">
        <v>1368</v>
      </c>
      <c r="N18">
        <v>1011</v>
      </c>
      <c r="O18" t="s">
        <v>262</v>
      </c>
      <c r="P18" t="s">
        <v>262</v>
      </c>
      <c r="Q18">
        <v>1</v>
      </c>
      <c r="X18">
        <v>0.04</v>
      </c>
      <c r="Y18">
        <v>0</v>
      </c>
      <c r="Z18">
        <v>120.52</v>
      </c>
      <c r="AA18">
        <v>15.42</v>
      </c>
      <c r="AB18">
        <v>0</v>
      </c>
      <c r="AC18">
        <v>0</v>
      </c>
      <c r="AD18">
        <v>1</v>
      </c>
      <c r="AE18">
        <v>0</v>
      </c>
      <c r="AF18" t="s">
        <v>38</v>
      </c>
      <c r="AG18">
        <v>0.05</v>
      </c>
      <c r="AH18">
        <v>2</v>
      </c>
      <c r="AI18">
        <v>27243155</v>
      </c>
      <c r="AJ18">
        <v>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27243176</v>
      </c>
      <c r="C19">
        <v>27243152</v>
      </c>
      <c r="D19">
        <v>24262159</v>
      </c>
      <c r="E19">
        <v>1</v>
      </c>
      <c r="F19">
        <v>1</v>
      </c>
      <c r="G19">
        <v>1</v>
      </c>
      <c r="H19">
        <v>2</v>
      </c>
      <c r="I19" t="s">
        <v>281</v>
      </c>
      <c r="J19" t="s">
        <v>282</v>
      </c>
      <c r="K19" t="s">
        <v>283</v>
      </c>
      <c r="L19">
        <v>1368</v>
      </c>
      <c r="N19">
        <v>1011</v>
      </c>
      <c r="O19" t="s">
        <v>262</v>
      </c>
      <c r="P19" t="s">
        <v>262</v>
      </c>
      <c r="Q19">
        <v>1</v>
      </c>
      <c r="X19">
        <v>0.21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38</v>
      </c>
      <c r="AG19">
        <v>0.2625</v>
      </c>
      <c r="AH19">
        <v>2</v>
      </c>
      <c r="AI19">
        <v>27243156</v>
      </c>
      <c r="AJ19">
        <v>10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27243177</v>
      </c>
      <c r="C20">
        <v>27243152</v>
      </c>
      <c r="D20">
        <v>24293024</v>
      </c>
      <c r="E20">
        <v>1</v>
      </c>
      <c r="F20">
        <v>1</v>
      </c>
      <c r="G20">
        <v>1</v>
      </c>
      <c r="H20">
        <v>2</v>
      </c>
      <c r="I20" t="s">
        <v>284</v>
      </c>
      <c r="J20" t="s">
        <v>285</v>
      </c>
      <c r="K20" t="s">
        <v>286</v>
      </c>
      <c r="L20">
        <v>1368</v>
      </c>
      <c r="N20">
        <v>1011</v>
      </c>
      <c r="O20" t="s">
        <v>262</v>
      </c>
      <c r="P20" t="s">
        <v>262</v>
      </c>
      <c r="Q20">
        <v>1</v>
      </c>
      <c r="X20">
        <v>2.36</v>
      </c>
      <c r="Y20">
        <v>0</v>
      </c>
      <c r="Z20">
        <v>175.56</v>
      </c>
      <c r="AA20">
        <v>14.4</v>
      </c>
      <c r="AB20">
        <v>0</v>
      </c>
      <c r="AC20">
        <v>0</v>
      </c>
      <c r="AD20">
        <v>1</v>
      </c>
      <c r="AE20">
        <v>0</v>
      </c>
      <c r="AF20" t="s">
        <v>38</v>
      </c>
      <c r="AG20">
        <v>2.9499999999999997</v>
      </c>
      <c r="AH20">
        <v>2</v>
      </c>
      <c r="AI20">
        <v>27243157</v>
      </c>
      <c r="AJ20">
        <v>11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ROW(Source!A26)</f>
        <v>26</v>
      </c>
      <c r="B21">
        <v>27243178</v>
      </c>
      <c r="C21">
        <v>27243152</v>
      </c>
      <c r="D21">
        <v>24285202</v>
      </c>
      <c r="E21">
        <v>1</v>
      </c>
      <c r="F21">
        <v>1</v>
      </c>
      <c r="G21">
        <v>1</v>
      </c>
      <c r="H21">
        <v>2</v>
      </c>
      <c r="I21" t="s">
        <v>287</v>
      </c>
      <c r="J21" t="s">
        <v>288</v>
      </c>
      <c r="K21" t="s">
        <v>289</v>
      </c>
      <c r="L21">
        <v>1368</v>
      </c>
      <c r="N21">
        <v>1011</v>
      </c>
      <c r="O21" t="s">
        <v>262</v>
      </c>
      <c r="P21" t="s">
        <v>262</v>
      </c>
      <c r="Q21">
        <v>1</v>
      </c>
      <c r="X21">
        <v>0.99</v>
      </c>
      <c r="Y21">
        <v>0</v>
      </c>
      <c r="Z21">
        <v>0.9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38</v>
      </c>
      <c r="AG21">
        <v>1.2375</v>
      </c>
      <c r="AH21">
        <v>2</v>
      </c>
      <c r="AI21">
        <v>27243158</v>
      </c>
      <c r="AJ21">
        <v>12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ROW(Source!A26)</f>
        <v>26</v>
      </c>
      <c r="B22">
        <v>27243179</v>
      </c>
      <c r="C22">
        <v>27243152</v>
      </c>
      <c r="D22">
        <v>24270272</v>
      </c>
      <c r="E22">
        <v>1</v>
      </c>
      <c r="F22">
        <v>1</v>
      </c>
      <c r="G22">
        <v>1</v>
      </c>
      <c r="H22">
        <v>2</v>
      </c>
      <c r="I22" t="s">
        <v>290</v>
      </c>
      <c r="J22" t="s">
        <v>291</v>
      </c>
      <c r="K22" t="s">
        <v>292</v>
      </c>
      <c r="L22">
        <v>1368</v>
      </c>
      <c r="N22">
        <v>1011</v>
      </c>
      <c r="O22" t="s">
        <v>262</v>
      </c>
      <c r="P22" t="s">
        <v>262</v>
      </c>
      <c r="Q22">
        <v>1</v>
      </c>
      <c r="X22">
        <v>1.68</v>
      </c>
      <c r="Y22">
        <v>0</v>
      </c>
      <c r="Z22">
        <v>1.2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38</v>
      </c>
      <c r="AG22">
        <v>2.1</v>
      </c>
      <c r="AH22">
        <v>2</v>
      </c>
      <c r="AI22">
        <v>27243159</v>
      </c>
      <c r="AJ22">
        <v>13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ROW(Source!A26)</f>
        <v>26</v>
      </c>
      <c r="B23">
        <v>27243180</v>
      </c>
      <c r="C23">
        <v>27243152</v>
      </c>
      <c r="D23">
        <v>24298562</v>
      </c>
      <c r="E23">
        <v>1</v>
      </c>
      <c r="F23">
        <v>1</v>
      </c>
      <c r="G23">
        <v>1</v>
      </c>
      <c r="H23">
        <v>2</v>
      </c>
      <c r="I23" t="s">
        <v>293</v>
      </c>
      <c r="J23" t="s">
        <v>294</v>
      </c>
      <c r="K23" t="s">
        <v>295</v>
      </c>
      <c r="L23">
        <v>1368</v>
      </c>
      <c r="N23">
        <v>1011</v>
      </c>
      <c r="O23" t="s">
        <v>262</v>
      </c>
      <c r="P23" t="s">
        <v>262</v>
      </c>
      <c r="Q23">
        <v>1</v>
      </c>
      <c r="X23">
        <v>0.18</v>
      </c>
      <c r="Y23">
        <v>0</v>
      </c>
      <c r="Z23">
        <v>12.31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38</v>
      </c>
      <c r="AG23">
        <v>0.22499999999999998</v>
      </c>
      <c r="AH23">
        <v>2</v>
      </c>
      <c r="AI23">
        <v>27243160</v>
      </c>
      <c r="AJ23">
        <v>14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27243181</v>
      </c>
      <c r="C24">
        <v>27243152</v>
      </c>
      <c r="D24">
        <v>24316474</v>
      </c>
      <c r="E24">
        <v>1</v>
      </c>
      <c r="F24">
        <v>1</v>
      </c>
      <c r="G24">
        <v>1</v>
      </c>
      <c r="H24">
        <v>2</v>
      </c>
      <c r="I24" t="s">
        <v>296</v>
      </c>
      <c r="J24" t="s">
        <v>297</v>
      </c>
      <c r="K24" t="s">
        <v>298</v>
      </c>
      <c r="L24">
        <v>1368</v>
      </c>
      <c r="N24">
        <v>1011</v>
      </c>
      <c r="O24" t="s">
        <v>262</v>
      </c>
      <c r="P24" t="s">
        <v>262</v>
      </c>
      <c r="Q24">
        <v>1</v>
      </c>
      <c r="X24">
        <v>0.02</v>
      </c>
      <c r="Y24">
        <v>0</v>
      </c>
      <c r="Z24">
        <v>6.7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38</v>
      </c>
      <c r="AG24">
        <v>0.025</v>
      </c>
      <c r="AH24">
        <v>2</v>
      </c>
      <c r="AI24">
        <v>27243161</v>
      </c>
      <c r="AJ24">
        <v>15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ROW(Source!A26)</f>
        <v>26</v>
      </c>
      <c r="B25">
        <v>27243182</v>
      </c>
      <c r="C25">
        <v>27243152</v>
      </c>
      <c r="D25">
        <v>24281578</v>
      </c>
      <c r="E25">
        <v>1</v>
      </c>
      <c r="F25">
        <v>1</v>
      </c>
      <c r="G25">
        <v>1</v>
      </c>
      <c r="H25">
        <v>2</v>
      </c>
      <c r="I25" t="s">
        <v>265</v>
      </c>
      <c r="J25" t="s">
        <v>266</v>
      </c>
      <c r="K25" t="s">
        <v>267</v>
      </c>
      <c r="L25">
        <v>1368</v>
      </c>
      <c r="N25">
        <v>1011</v>
      </c>
      <c r="O25" t="s">
        <v>262</v>
      </c>
      <c r="P25" t="s">
        <v>262</v>
      </c>
      <c r="Q25">
        <v>1</v>
      </c>
      <c r="X25">
        <v>2.41</v>
      </c>
      <c r="Y25">
        <v>0</v>
      </c>
      <c r="Z25">
        <v>1.95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38</v>
      </c>
      <c r="AG25">
        <v>3.0125</v>
      </c>
      <c r="AH25">
        <v>2</v>
      </c>
      <c r="AI25">
        <v>27243162</v>
      </c>
      <c r="AJ25">
        <v>16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ROW(Source!A26)</f>
        <v>26</v>
      </c>
      <c r="B26">
        <v>27243183</v>
      </c>
      <c r="C26">
        <v>27243152</v>
      </c>
      <c r="D26">
        <v>24262102</v>
      </c>
      <c r="E26">
        <v>1</v>
      </c>
      <c r="F26">
        <v>1</v>
      </c>
      <c r="G26">
        <v>1</v>
      </c>
      <c r="H26">
        <v>2</v>
      </c>
      <c r="I26" t="s">
        <v>271</v>
      </c>
      <c r="J26" t="s">
        <v>272</v>
      </c>
      <c r="K26" t="s">
        <v>273</v>
      </c>
      <c r="L26">
        <v>1368</v>
      </c>
      <c r="N26">
        <v>1011</v>
      </c>
      <c r="O26" t="s">
        <v>262</v>
      </c>
      <c r="P26" t="s">
        <v>262</v>
      </c>
      <c r="Q26">
        <v>1</v>
      </c>
      <c r="X26">
        <v>0.32</v>
      </c>
      <c r="Y26">
        <v>0</v>
      </c>
      <c r="Z26">
        <v>87.17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38</v>
      </c>
      <c r="AG26">
        <v>0.4</v>
      </c>
      <c r="AH26">
        <v>2</v>
      </c>
      <c r="AI26">
        <v>27243163</v>
      </c>
      <c r="AJ26">
        <v>17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ROW(Source!A26)</f>
        <v>26</v>
      </c>
      <c r="B27">
        <v>27243184</v>
      </c>
      <c r="C27">
        <v>27243152</v>
      </c>
      <c r="D27">
        <v>24316113</v>
      </c>
      <c r="E27">
        <v>1</v>
      </c>
      <c r="F27">
        <v>1</v>
      </c>
      <c r="G27">
        <v>1</v>
      </c>
      <c r="H27">
        <v>3</v>
      </c>
      <c r="I27" t="s">
        <v>464</v>
      </c>
      <c r="J27" t="s">
        <v>465</v>
      </c>
      <c r="K27" t="s">
        <v>466</v>
      </c>
      <c r="L27">
        <v>1348</v>
      </c>
      <c r="N27">
        <v>1009</v>
      </c>
      <c r="O27" t="s">
        <v>100</v>
      </c>
      <c r="P27" t="s">
        <v>100</v>
      </c>
      <c r="Q27">
        <v>1000</v>
      </c>
      <c r="X27">
        <v>0.00015</v>
      </c>
      <c r="Y27">
        <v>37900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0.00015</v>
      </c>
      <c r="AH27">
        <v>3</v>
      </c>
      <c r="AI27">
        <v>-1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ROW(Source!A26)</f>
        <v>26</v>
      </c>
      <c r="B28">
        <v>27243185</v>
      </c>
      <c r="C28">
        <v>27243152</v>
      </c>
      <c r="D28">
        <v>24270256</v>
      </c>
      <c r="E28">
        <v>1</v>
      </c>
      <c r="F28">
        <v>1</v>
      </c>
      <c r="G28">
        <v>1</v>
      </c>
      <c r="H28">
        <v>3</v>
      </c>
      <c r="I28" t="s">
        <v>299</v>
      </c>
      <c r="J28" t="s">
        <v>300</v>
      </c>
      <c r="K28" t="s">
        <v>301</v>
      </c>
      <c r="L28">
        <v>1339</v>
      </c>
      <c r="N28">
        <v>1007</v>
      </c>
      <c r="O28" t="s">
        <v>302</v>
      </c>
      <c r="P28" t="s">
        <v>302</v>
      </c>
      <c r="Q28">
        <v>1</v>
      </c>
      <c r="X28">
        <v>1.4</v>
      </c>
      <c r="Y28">
        <v>6.22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1.4</v>
      </c>
      <c r="AH28">
        <v>2</v>
      </c>
      <c r="AI28">
        <v>27243164</v>
      </c>
      <c r="AJ28">
        <v>18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ROW(Source!A26)</f>
        <v>26</v>
      </c>
      <c r="B29">
        <v>27243186</v>
      </c>
      <c r="C29">
        <v>27243152</v>
      </c>
      <c r="D29">
        <v>24264207</v>
      </c>
      <c r="E29">
        <v>1</v>
      </c>
      <c r="F29">
        <v>1</v>
      </c>
      <c r="G29">
        <v>1</v>
      </c>
      <c r="H29">
        <v>3</v>
      </c>
      <c r="I29" t="s">
        <v>303</v>
      </c>
      <c r="J29" t="s">
        <v>304</v>
      </c>
      <c r="K29" t="s">
        <v>305</v>
      </c>
      <c r="L29">
        <v>1348</v>
      </c>
      <c r="N29">
        <v>1009</v>
      </c>
      <c r="O29" t="s">
        <v>100</v>
      </c>
      <c r="P29" t="s">
        <v>100</v>
      </c>
      <c r="Q29">
        <v>1000</v>
      </c>
      <c r="X29">
        <v>4E-05</v>
      </c>
      <c r="Y29">
        <v>4455.2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4E-05</v>
      </c>
      <c r="AH29">
        <v>2</v>
      </c>
      <c r="AI29">
        <v>27243165</v>
      </c>
      <c r="AJ29">
        <v>19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ROW(Source!A26)</f>
        <v>26</v>
      </c>
      <c r="B30">
        <v>27243187</v>
      </c>
      <c r="C30">
        <v>27243152</v>
      </c>
      <c r="D30">
        <v>24281571</v>
      </c>
      <c r="E30">
        <v>1</v>
      </c>
      <c r="F30">
        <v>1</v>
      </c>
      <c r="G30">
        <v>1</v>
      </c>
      <c r="H30">
        <v>3</v>
      </c>
      <c r="I30" t="s">
        <v>467</v>
      </c>
      <c r="J30" t="s">
        <v>468</v>
      </c>
      <c r="K30" t="s">
        <v>469</v>
      </c>
      <c r="L30">
        <v>1348</v>
      </c>
      <c r="N30">
        <v>1009</v>
      </c>
      <c r="O30" t="s">
        <v>100</v>
      </c>
      <c r="P30" t="s">
        <v>100</v>
      </c>
      <c r="Q30">
        <v>1000</v>
      </c>
      <c r="X30">
        <v>0.00297</v>
      </c>
      <c r="Y30">
        <v>4920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0.00297</v>
      </c>
      <c r="AH30">
        <v>3</v>
      </c>
      <c r="AI30">
        <v>-1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ROW(Source!A26)</f>
        <v>26</v>
      </c>
      <c r="B31">
        <v>27243188</v>
      </c>
      <c r="C31">
        <v>27243152</v>
      </c>
      <c r="D31">
        <v>24289060</v>
      </c>
      <c r="E31">
        <v>1</v>
      </c>
      <c r="F31">
        <v>1</v>
      </c>
      <c r="G31">
        <v>1</v>
      </c>
      <c r="H31">
        <v>3</v>
      </c>
      <c r="I31" t="s">
        <v>306</v>
      </c>
      <c r="J31" t="s">
        <v>307</v>
      </c>
      <c r="K31" t="s">
        <v>308</v>
      </c>
      <c r="L31">
        <v>1348</v>
      </c>
      <c r="N31">
        <v>1009</v>
      </c>
      <c r="O31" t="s">
        <v>100</v>
      </c>
      <c r="P31" t="s">
        <v>100</v>
      </c>
      <c r="Q31">
        <v>1000</v>
      </c>
      <c r="X31">
        <v>0.00061</v>
      </c>
      <c r="Y31">
        <v>10315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0.00061</v>
      </c>
      <c r="AH31">
        <v>2</v>
      </c>
      <c r="AI31">
        <v>27243166</v>
      </c>
      <c r="AJ31">
        <v>20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ROW(Source!A26)</f>
        <v>26</v>
      </c>
      <c r="B32">
        <v>27243189</v>
      </c>
      <c r="C32">
        <v>27243152</v>
      </c>
      <c r="D32">
        <v>24262125</v>
      </c>
      <c r="E32">
        <v>1</v>
      </c>
      <c r="F32">
        <v>1</v>
      </c>
      <c r="G32">
        <v>1</v>
      </c>
      <c r="H32">
        <v>3</v>
      </c>
      <c r="I32" t="s">
        <v>309</v>
      </c>
      <c r="J32" t="s">
        <v>310</v>
      </c>
      <c r="K32" t="s">
        <v>311</v>
      </c>
      <c r="L32">
        <v>1348</v>
      </c>
      <c r="N32">
        <v>1009</v>
      </c>
      <c r="O32" t="s">
        <v>100</v>
      </c>
      <c r="P32" t="s">
        <v>100</v>
      </c>
      <c r="Q32">
        <v>1000</v>
      </c>
      <c r="X32">
        <v>0.0022</v>
      </c>
      <c r="Y32">
        <v>9040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0.0022</v>
      </c>
      <c r="AH32">
        <v>2</v>
      </c>
      <c r="AI32">
        <v>27243167</v>
      </c>
      <c r="AJ32">
        <v>21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ROW(Source!A26)</f>
        <v>26</v>
      </c>
      <c r="B33">
        <v>27243190</v>
      </c>
      <c r="C33">
        <v>27243152</v>
      </c>
      <c r="D33">
        <v>24285323</v>
      </c>
      <c r="E33">
        <v>1</v>
      </c>
      <c r="F33">
        <v>1</v>
      </c>
      <c r="G33">
        <v>1</v>
      </c>
      <c r="H33">
        <v>3</v>
      </c>
      <c r="I33" t="s">
        <v>312</v>
      </c>
      <c r="J33" t="s">
        <v>313</v>
      </c>
      <c r="K33" t="s">
        <v>314</v>
      </c>
      <c r="L33">
        <v>1346</v>
      </c>
      <c r="N33">
        <v>1009</v>
      </c>
      <c r="O33" t="s">
        <v>315</v>
      </c>
      <c r="P33" t="s">
        <v>315</v>
      </c>
      <c r="Q33">
        <v>1</v>
      </c>
      <c r="X33">
        <v>0.42</v>
      </c>
      <c r="Y33">
        <v>6.09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0.42</v>
      </c>
      <c r="AH33">
        <v>2</v>
      </c>
      <c r="AI33">
        <v>27243168</v>
      </c>
      <c r="AJ33">
        <v>22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ROW(Source!A26)</f>
        <v>26</v>
      </c>
      <c r="B34">
        <v>27243191</v>
      </c>
      <c r="C34">
        <v>27243152</v>
      </c>
      <c r="D34">
        <v>24316115</v>
      </c>
      <c r="E34">
        <v>1</v>
      </c>
      <c r="F34">
        <v>1</v>
      </c>
      <c r="G34">
        <v>1</v>
      </c>
      <c r="H34">
        <v>3</v>
      </c>
      <c r="I34" t="s">
        <v>316</v>
      </c>
      <c r="J34" t="s">
        <v>317</v>
      </c>
      <c r="K34" t="s">
        <v>318</v>
      </c>
      <c r="L34">
        <v>1348</v>
      </c>
      <c r="N34">
        <v>1009</v>
      </c>
      <c r="O34" t="s">
        <v>100</v>
      </c>
      <c r="P34" t="s">
        <v>100</v>
      </c>
      <c r="Q34">
        <v>1000</v>
      </c>
      <c r="X34">
        <v>9E-05</v>
      </c>
      <c r="Y34">
        <v>9420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9E-05</v>
      </c>
      <c r="AH34">
        <v>2</v>
      </c>
      <c r="AI34">
        <v>27243169</v>
      </c>
      <c r="AJ34">
        <v>23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ROW(Source!A26)</f>
        <v>26</v>
      </c>
      <c r="B35">
        <v>27243192</v>
      </c>
      <c r="C35">
        <v>27243152</v>
      </c>
      <c r="D35">
        <v>24321017</v>
      </c>
      <c r="E35">
        <v>1</v>
      </c>
      <c r="F35">
        <v>1</v>
      </c>
      <c r="G35">
        <v>1</v>
      </c>
      <c r="H35">
        <v>3</v>
      </c>
      <c r="I35" t="s">
        <v>319</v>
      </c>
      <c r="J35" t="s">
        <v>320</v>
      </c>
      <c r="K35" t="s">
        <v>321</v>
      </c>
      <c r="L35">
        <v>1348</v>
      </c>
      <c r="N35">
        <v>1009</v>
      </c>
      <c r="O35" t="s">
        <v>100</v>
      </c>
      <c r="P35" t="s">
        <v>100</v>
      </c>
      <c r="Q35">
        <v>1000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G35">
        <v>0</v>
      </c>
      <c r="AH35">
        <v>2</v>
      </c>
      <c r="AI35">
        <v>27243170</v>
      </c>
      <c r="AJ35">
        <v>24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ROW(Source!A26)</f>
        <v>26</v>
      </c>
      <c r="B36">
        <v>27243193</v>
      </c>
      <c r="C36">
        <v>27243152</v>
      </c>
      <c r="D36">
        <v>24321015</v>
      </c>
      <c r="E36">
        <v>1</v>
      </c>
      <c r="F36">
        <v>1</v>
      </c>
      <c r="G36">
        <v>1</v>
      </c>
      <c r="H36">
        <v>3</v>
      </c>
      <c r="I36" t="s">
        <v>470</v>
      </c>
      <c r="J36" t="s">
        <v>471</v>
      </c>
      <c r="K36" t="s">
        <v>472</v>
      </c>
      <c r="L36">
        <v>1348</v>
      </c>
      <c r="N36">
        <v>1009</v>
      </c>
      <c r="O36" t="s">
        <v>100</v>
      </c>
      <c r="P36" t="s">
        <v>100</v>
      </c>
      <c r="Q36">
        <v>1000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0</v>
      </c>
      <c r="AG36">
        <v>0</v>
      </c>
      <c r="AH36">
        <v>3</v>
      </c>
      <c r="AI36">
        <v>-1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ROW(Source!A26)</f>
        <v>26</v>
      </c>
      <c r="B37">
        <v>27243194</v>
      </c>
      <c r="C37">
        <v>27243152</v>
      </c>
      <c r="D37">
        <v>24297140</v>
      </c>
      <c r="E37">
        <v>1</v>
      </c>
      <c r="F37">
        <v>1</v>
      </c>
      <c r="G37">
        <v>1</v>
      </c>
      <c r="H37">
        <v>3</v>
      </c>
      <c r="I37" t="s">
        <v>323</v>
      </c>
      <c r="J37" t="s">
        <v>324</v>
      </c>
      <c r="K37" t="s">
        <v>325</v>
      </c>
      <c r="L37">
        <v>1339</v>
      </c>
      <c r="N37">
        <v>1007</v>
      </c>
      <c r="O37" t="s">
        <v>302</v>
      </c>
      <c r="P37" t="s">
        <v>302</v>
      </c>
      <c r="Q37">
        <v>1</v>
      </c>
      <c r="X37">
        <v>0.0013</v>
      </c>
      <c r="Y37">
        <v>1700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0.0013</v>
      </c>
      <c r="AH37">
        <v>2</v>
      </c>
      <c r="AI37">
        <v>27243171</v>
      </c>
      <c r="AJ37">
        <v>25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ROW(Source!A26)</f>
        <v>26</v>
      </c>
      <c r="B38">
        <v>27243195</v>
      </c>
      <c r="C38">
        <v>27243152</v>
      </c>
      <c r="D38">
        <v>24315188</v>
      </c>
      <c r="E38">
        <v>1</v>
      </c>
      <c r="F38">
        <v>1</v>
      </c>
      <c r="G38">
        <v>1</v>
      </c>
      <c r="H38">
        <v>3</v>
      </c>
      <c r="I38" t="s">
        <v>326</v>
      </c>
      <c r="J38" t="s">
        <v>327</v>
      </c>
      <c r="K38" t="s">
        <v>328</v>
      </c>
      <c r="L38">
        <v>1348</v>
      </c>
      <c r="N38">
        <v>1009</v>
      </c>
      <c r="O38" t="s">
        <v>100</v>
      </c>
      <c r="P38" t="s">
        <v>100</v>
      </c>
      <c r="Q38">
        <v>1000</v>
      </c>
      <c r="X38">
        <v>0.00047</v>
      </c>
      <c r="Y38">
        <v>15620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0.00047</v>
      </c>
      <c r="AH38">
        <v>2</v>
      </c>
      <c r="AI38">
        <v>27243172</v>
      </c>
      <c r="AJ38">
        <v>26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ROW(Source!A26)</f>
        <v>26</v>
      </c>
      <c r="B39">
        <v>27243196</v>
      </c>
      <c r="C39">
        <v>27243152</v>
      </c>
      <c r="D39">
        <v>24316116</v>
      </c>
      <c r="E39">
        <v>1</v>
      </c>
      <c r="F39">
        <v>1</v>
      </c>
      <c r="G39">
        <v>1</v>
      </c>
      <c r="H39">
        <v>3</v>
      </c>
      <c r="I39" t="s">
        <v>473</v>
      </c>
      <c r="J39" t="s">
        <v>474</v>
      </c>
      <c r="K39" t="s">
        <v>475</v>
      </c>
      <c r="L39">
        <v>1348</v>
      </c>
      <c r="N39">
        <v>1009</v>
      </c>
      <c r="O39" t="s">
        <v>100</v>
      </c>
      <c r="P39" t="s">
        <v>100</v>
      </c>
      <c r="Q39">
        <v>1000</v>
      </c>
      <c r="X39">
        <v>0.011</v>
      </c>
      <c r="Y39">
        <v>7712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0.011</v>
      </c>
      <c r="AH39">
        <v>3</v>
      </c>
      <c r="AI39">
        <v>-1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ROW(Source!A26)</f>
        <v>26</v>
      </c>
      <c r="B40">
        <v>27243197</v>
      </c>
      <c r="C40">
        <v>27243152</v>
      </c>
      <c r="D40">
        <v>24316120</v>
      </c>
      <c r="E40">
        <v>1</v>
      </c>
      <c r="F40">
        <v>1</v>
      </c>
      <c r="G40">
        <v>1</v>
      </c>
      <c r="H40">
        <v>3</v>
      </c>
      <c r="I40" t="s">
        <v>476</v>
      </c>
      <c r="J40" t="s">
        <v>477</v>
      </c>
      <c r="K40" t="s">
        <v>478</v>
      </c>
      <c r="L40">
        <v>1302</v>
      </c>
      <c r="N40">
        <v>1003</v>
      </c>
      <c r="O40" t="s">
        <v>479</v>
      </c>
      <c r="P40" t="s">
        <v>479</v>
      </c>
      <c r="Q40">
        <v>10</v>
      </c>
      <c r="X40">
        <v>0.016</v>
      </c>
      <c r="Y40">
        <v>50.23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0.016</v>
      </c>
      <c r="AH40">
        <v>3</v>
      </c>
      <c r="AI40">
        <v>-1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ROW(Source!A27)</f>
        <v>27</v>
      </c>
      <c r="B41">
        <v>27243201</v>
      </c>
      <c r="C41">
        <v>27243198</v>
      </c>
      <c r="D41">
        <v>9416104</v>
      </c>
      <c r="E41">
        <v>1</v>
      </c>
      <c r="F41">
        <v>1</v>
      </c>
      <c r="G41">
        <v>1</v>
      </c>
      <c r="H41">
        <v>1</v>
      </c>
      <c r="I41" t="s">
        <v>329</v>
      </c>
      <c r="K41" t="s">
        <v>330</v>
      </c>
      <c r="L41">
        <v>1369</v>
      </c>
      <c r="N41">
        <v>1013</v>
      </c>
      <c r="O41" t="s">
        <v>258</v>
      </c>
      <c r="P41" t="s">
        <v>258</v>
      </c>
      <c r="Q41">
        <v>1</v>
      </c>
      <c r="X41">
        <v>0.34</v>
      </c>
      <c r="Y41">
        <v>0</v>
      </c>
      <c r="Z41">
        <v>0</v>
      </c>
      <c r="AA41">
        <v>0</v>
      </c>
      <c r="AB41">
        <v>8.97</v>
      </c>
      <c r="AC41">
        <v>0</v>
      </c>
      <c r="AD41">
        <v>1</v>
      </c>
      <c r="AE41">
        <v>1</v>
      </c>
      <c r="AF41" t="s">
        <v>39</v>
      </c>
      <c r="AG41">
        <v>0.391</v>
      </c>
      <c r="AH41">
        <v>2</v>
      </c>
      <c r="AI41">
        <v>27243199</v>
      </c>
      <c r="AJ41">
        <v>27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ROW(Source!A27)</f>
        <v>27</v>
      </c>
      <c r="B42">
        <v>27243202</v>
      </c>
      <c r="C42">
        <v>27243198</v>
      </c>
      <c r="D42">
        <v>24269286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262</v>
      </c>
      <c r="P42" t="s">
        <v>262</v>
      </c>
      <c r="Q42">
        <v>1</v>
      </c>
      <c r="X42">
        <v>0.31</v>
      </c>
      <c r="Y42">
        <v>0</v>
      </c>
      <c r="Z42">
        <v>1.78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38</v>
      </c>
      <c r="AG42">
        <v>0.3875</v>
      </c>
      <c r="AH42">
        <v>2</v>
      </c>
      <c r="AI42">
        <v>27243200</v>
      </c>
      <c r="AJ42">
        <v>28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ROW(Source!A28)</f>
        <v>28</v>
      </c>
      <c r="B43">
        <v>27243212</v>
      </c>
      <c r="C43">
        <v>27243203</v>
      </c>
      <c r="D43">
        <v>9415385</v>
      </c>
      <c r="E43">
        <v>1</v>
      </c>
      <c r="F43">
        <v>1</v>
      </c>
      <c r="G43">
        <v>1</v>
      </c>
      <c r="H43">
        <v>1</v>
      </c>
      <c r="I43" t="s">
        <v>334</v>
      </c>
      <c r="K43" t="s">
        <v>335</v>
      </c>
      <c r="L43">
        <v>1369</v>
      </c>
      <c r="N43">
        <v>1013</v>
      </c>
      <c r="O43" t="s">
        <v>258</v>
      </c>
      <c r="P43" t="s">
        <v>258</v>
      </c>
      <c r="Q43">
        <v>1</v>
      </c>
      <c r="X43">
        <v>17.51</v>
      </c>
      <c r="Y43">
        <v>0</v>
      </c>
      <c r="Z43">
        <v>0</v>
      </c>
      <c r="AA43">
        <v>0</v>
      </c>
      <c r="AB43">
        <v>9.4</v>
      </c>
      <c r="AC43">
        <v>0</v>
      </c>
      <c r="AD43">
        <v>1</v>
      </c>
      <c r="AE43">
        <v>1</v>
      </c>
      <c r="AF43" t="s">
        <v>39</v>
      </c>
      <c r="AG43">
        <v>20.1365</v>
      </c>
      <c r="AH43">
        <v>2</v>
      </c>
      <c r="AI43">
        <v>27243206</v>
      </c>
      <c r="AJ43">
        <v>29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ROW(Source!A28)</f>
        <v>28</v>
      </c>
      <c r="B44">
        <v>27243213</v>
      </c>
      <c r="C44">
        <v>27243203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23</v>
      </c>
      <c r="K44" t="s">
        <v>276</v>
      </c>
      <c r="L44">
        <v>608254</v>
      </c>
      <c r="N44">
        <v>1013</v>
      </c>
      <c r="O44" t="s">
        <v>277</v>
      </c>
      <c r="P44" t="s">
        <v>277</v>
      </c>
      <c r="Q44">
        <v>1</v>
      </c>
      <c r="X44">
        <v>0.18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38</v>
      </c>
      <c r="AG44">
        <v>0.22499999999999998</v>
      </c>
      <c r="AH44">
        <v>2</v>
      </c>
      <c r="AI44">
        <v>27243207</v>
      </c>
      <c r="AJ44">
        <v>30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ROW(Source!A28)</f>
        <v>28</v>
      </c>
      <c r="B45">
        <v>27243214</v>
      </c>
      <c r="C45">
        <v>27243203</v>
      </c>
      <c r="D45">
        <v>24297465</v>
      </c>
      <c r="E45">
        <v>1</v>
      </c>
      <c r="F45">
        <v>1</v>
      </c>
      <c r="G45">
        <v>1</v>
      </c>
      <c r="H45">
        <v>2</v>
      </c>
      <c r="I45" t="s">
        <v>336</v>
      </c>
      <c r="J45" t="s">
        <v>337</v>
      </c>
      <c r="K45" t="s">
        <v>338</v>
      </c>
      <c r="L45">
        <v>1368</v>
      </c>
      <c r="N45">
        <v>1011</v>
      </c>
      <c r="O45" t="s">
        <v>262</v>
      </c>
      <c r="P45" t="s">
        <v>262</v>
      </c>
      <c r="Q45">
        <v>1</v>
      </c>
      <c r="X45">
        <v>0.11</v>
      </c>
      <c r="Y45">
        <v>0</v>
      </c>
      <c r="Z45">
        <v>86.4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38</v>
      </c>
      <c r="AG45">
        <v>0.1375</v>
      </c>
      <c r="AH45">
        <v>2</v>
      </c>
      <c r="AI45">
        <v>27243208</v>
      </c>
      <c r="AJ45">
        <v>31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ROW(Source!A28)</f>
        <v>28</v>
      </c>
      <c r="B46">
        <v>27243215</v>
      </c>
      <c r="C46">
        <v>27243203</v>
      </c>
      <c r="D46">
        <v>24262159</v>
      </c>
      <c r="E46">
        <v>1</v>
      </c>
      <c r="F46">
        <v>1</v>
      </c>
      <c r="G46">
        <v>1</v>
      </c>
      <c r="H46">
        <v>2</v>
      </c>
      <c r="I46" t="s">
        <v>281</v>
      </c>
      <c r="J46" t="s">
        <v>282</v>
      </c>
      <c r="K46" t="s">
        <v>283</v>
      </c>
      <c r="L46">
        <v>1368</v>
      </c>
      <c r="N46">
        <v>1011</v>
      </c>
      <c r="O46" t="s">
        <v>262</v>
      </c>
      <c r="P46" t="s">
        <v>262</v>
      </c>
      <c r="Q46">
        <v>1</v>
      </c>
      <c r="X46">
        <v>0.07</v>
      </c>
      <c r="Y46">
        <v>0</v>
      </c>
      <c r="Z46">
        <v>111.99</v>
      </c>
      <c r="AA46">
        <v>13.5</v>
      </c>
      <c r="AB46">
        <v>0</v>
      </c>
      <c r="AC46">
        <v>0</v>
      </c>
      <c r="AD46">
        <v>1</v>
      </c>
      <c r="AE46">
        <v>0</v>
      </c>
      <c r="AF46" t="s">
        <v>38</v>
      </c>
      <c r="AG46">
        <v>0.08750000000000001</v>
      </c>
      <c r="AH46">
        <v>2</v>
      </c>
      <c r="AI46">
        <v>27243209</v>
      </c>
      <c r="AJ46">
        <v>32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ROW(Source!A28)</f>
        <v>28</v>
      </c>
      <c r="B47">
        <v>27243216</v>
      </c>
      <c r="C47">
        <v>27243203</v>
      </c>
      <c r="D47">
        <v>24268654</v>
      </c>
      <c r="E47">
        <v>1</v>
      </c>
      <c r="F47">
        <v>1</v>
      </c>
      <c r="G47">
        <v>1</v>
      </c>
      <c r="H47">
        <v>2</v>
      </c>
      <c r="I47" t="s">
        <v>339</v>
      </c>
      <c r="J47" t="s">
        <v>340</v>
      </c>
      <c r="K47" t="s">
        <v>341</v>
      </c>
      <c r="L47">
        <v>1368</v>
      </c>
      <c r="N47">
        <v>1011</v>
      </c>
      <c r="O47" t="s">
        <v>262</v>
      </c>
      <c r="P47" t="s">
        <v>262</v>
      </c>
      <c r="Q47">
        <v>1</v>
      </c>
      <c r="X47">
        <v>1.81</v>
      </c>
      <c r="Y47">
        <v>0</v>
      </c>
      <c r="Z47">
        <v>30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38</v>
      </c>
      <c r="AG47">
        <v>2.2625</v>
      </c>
      <c r="AH47">
        <v>2</v>
      </c>
      <c r="AI47">
        <v>27243210</v>
      </c>
      <c r="AJ47">
        <v>33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ROW(Source!A28)</f>
        <v>28</v>
      </c>
      <c r="B48">
        <v>27243217</v>
      </c>
      <c r="C48">
        <v>27243203</v>
      </c>
      <c r="D48">
        <v>24262102</v>
      </c>
      <c r="E48">
        <v>1</v>
      </c>
      <c r="F48">
        <v>1</v>
      </c>
      <c r="G48">
        <v>1</v>
      </c>
      <c r="H48">
        <v>2</v>
      </c>
      <c r="I48" t="s">
        <v>271</v>
      </c>
      <c r="J48" t="s">
        <v>272</v>
      </c>
      <c r="K48" t="s">
        <v>273</v>
      </c>
      <c r="L48">
        <v>1368</v>
      </c>
      <c r="N48">
        <v>1011</v>
      </c>
      <c r="O48" t="s">
        <v>262</v>
      </c>
      <c r="P48" t="s">
        <v>262</v>
      </c>
      <c r="Q48">
        <v>1</v>
      </c>
      <c r="X48">
        <v>0.1</v>
      </c>
      <c r="Y48">
        <v>0</v>
      </c>
      <c r="Z48">
        <v>87.17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38</v>
      </c>
      <c r="AG48">
        <v>0.125</v>
      </c>
      <c r="AH48">
        <v>2</v>
      </c>
      <c r="AI48">
        <v>27243211</v>
      </c>
      <c r="AJ48">
        <v>34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ROW(Source!A28)</f>
        <v>28</v>
      </c>
      <c r="B49">
        <v>27243218</v>
      </c>
      <c r="C49">
        <v>27243203</v>
      </c>
      <c r="D49">
        <v>24330818</v>
      </c>
      <c r="E49">
        <v>1</v>
      </c>
      <c r="F49">
        <v>1</v>
      </c>
      <c r="G49">
        <v>1</v>
      </c>
      <c r="H49">
        <v>3</v>
      </c>
      <c r="I49" t="s">
        <v>480</v>
      </c>
      <c r="J49" t="s">
        <v>481</v>
      </c>
      <c r="K49" t="s">
        <v>482</v>
      </c>
      <c r="L49">
        <v>1348</v>
      </c>
      <c r="N49">
        <v>1009</v>
      </c>
      <c r="O49" t="s">
        <v>100</v>
      </c>
      <c r="P49" t="s">
        <v>100</v>
      </c>
      <c r="Q49">
        <v>1000</v>
      </c>
      <c r="X49">
        <v>0.025</v>
      </c>
      <c r="Y49">
        <v>1530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0.025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ROW(Source!A28)</f>
        <v>28</v>
      </c>
      <c r="B50">
        <v>27243219</v>
      </c>
      <c r="C50">
        <v>27243203</v>
      </c>
      <c r="D50">
        <v>24313914</v>
      </c>
      <c r="E50">
        <v>1</v>
      </c>
      <c r="F50">
        <v>1</v>
      </c>
      <c r="G50">
        <v>1</v>
      </c>
      <c r="H50">
        <v>3</v>
      </c>
      <c r="I50" t="s">
        <v>483</v>
      </c>
      <c r="J50" t="s">
        <v>484</v>
      </c>
      <c r="K50" t="s">
        <v>485</v>
      </c>
      <c r="L50">
        <v>1348</v>
      </c>
      <c r="N50">
        <v>1009</v>
      </c>
      <c r="O50" t="s">
        <v>100</v>
      </c>
      <c r="P50" t="s">
        <v>100</v>
      </c>
      <c r="Q50">
        <v>1000</v>
      </c>
      <c r="X50">
        <v>0.06</v>
      </c>
      <c r="Y50">
        <v>2606.9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0.06</v>
      </c>
      <c r="AH50">
        <v>3</v>
      </c>
      <c r="AI50">
        <v>-1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ROW(Source!A28)</f>
        <v>28</v>
      </c>
      <c r="B51">
        <v>27243220</v>
      </c>
      <c r="C51">
        <v>27243203</v>
      </c>
      <c r="D51">
        <v>24313797</v>
      </c>
      <c r="E51">
        <v>1</v>
      </c>
      <c r="F51">
        <v>1</v>
      </c>
      <c r="G51">
        <v>1</v>
      </c>
      <c r="H51">
        <v>3</v>
      </c>
      <c r="I51" t="s">
        <v>342</v>
      </c>
      <c r="J51" t="s">
        <v>343</v>
      </c>
      <c r="K51" t="s">
        <v>486</v>
      </c>
      <c r="L51">
        <v>1348</v>
      </c>
      <c r="N51">
        <v>1009</v>
      </c>
      <c r="O51" t="s">
        <v>100</v>
      </c>
      <c r="P51" t="s">
        <v>100</v>
      </c>
      <c r="Q51">
        <v>1000</v>
      </c>
      <c r="X51">
        <v>0.196</v>
      </c>
      <c r="Y51">
        <v>3390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0.196</v>
      </c>
      <c r="AH51">
        <v>2</v>
      </c>
      <c r="AI51">
        <v>27243204</v>
      </c>
      <c r="AJ51">
        <v>35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ROW(Source!A28)</f>
        <v>28</v>
      </c>
      <c r="B52">
        <v>27243221</v>
      </c>
      <c r="C52">
        <v>27243203</v>
      </c>
      <c r="D52">
        <v>24331915</v>
      </c>
      <c r="E52">
        <v>1</v>
      </c>
      <c r="F52">
        <v>1</v>
      </c>
      <c r="G52">
        <v>1</v>
      </c>
      <c r="H52">
        <v>3</v>
      </c>
      <c r="I52" t="s">
        <v>345</v>
      </c>
      <c r="J52" t="s">
        <v>346</v>
      </c>
      <c r="K52" t="s">
        <v>487</v>
      </c>
      <c r="L52">
        <v>1327</v>
      </c>
      <c r="N52">
        <v>1005</v>
      </c>
      <c r="O52" t="s">
        <v>322</v>
      </c>
      <c r="P52" t="s">
        <v>322</v>
      </c>
      <c r="Q52">
        <v>1</v>
      </c>
      <c r="X52">
        <v>110</v>
      </c>
      <c r="Y52">
        <v>6.2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110</v>
      </c>
      <c r="AH52">
        <v>2</v>
      </c>
      <c r="AI52">
        <v>27243205</v>
      </c>
      <c r="AJ52">
        <v>36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27243232</v>
      </c>
      <c r="C53">
        <v>27243222</v>
      </c>
      <c r="D53">
        <v>9416287</v>
      </c>
      <c r="E53">
        <v>1</v>
      </c>
      <c r="F53">
        <v>1</v>
      </c>
      <c r="G53">
        <v>1</v>
      </c>
      <c r="H53">
        <v>1</v>
      </c>
      <c r="I53" t="s">
        <v>348</v>
      </c>
      <c r="K53" t="s">
        <v>349</v>
      </c>
      <c r="L53">
        <v>1369</v>
      </c>
      <c r="N53">
        <v>1013</v>
      </c>
      <c r="O53" t="s">
        <v>258</v>
      </c>
      <c r="P53" t="s">
        <v>258</v>
      </c>
      <c r="Q53">
        <v>1</v>
      </c>
      <c r="X53">
        <v>45.54</v>
      </c>
      <c r="Y53">
        <v>0</v>
      </c>
      <c r="Z53">
        <v>0</v>
      </c>
      <c r="AA53">
        <v>0</v>
      </c>
      <c r="AB53">
        <v>9.51</v>
      </c>
      <c r="AC53">
        <v>0</v>
      </c>
      <c r="AD53">
        <v>1</v>
      </c>
      <c r="AE53">
        <v>1</v>
      </c>
      <c r="AF53" t="s">
        <v>39</v>
      </c>
      <c r="AG53">
        <v>52.370999999999995</v>
      </c>
      <c r="AH53">
        <v>2</v>
      </c>
      <c r="AI53">
        <v>27243223</v>
      </c>
      <c r="AJ53">
        <v>37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27243233</v>
      </c>
      <c r="C54">
        <v>27243222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23</v>
      </c>
      <c r="K54" t="s">
        <v>276</v>
      </c>
      <c r="L54">
        <v>608254</v>
      </c>
      <c r="N54">
        <v>1013</v>
      </c>
      <c r="O54" t="s">
        <v>277</v>
      </c>
      <c r="P54" t="s">
        <v>277</v>
      </c>
      <c r="Q54">
        <v>1</v>
      </c>
      <c r="X54">
        <v>0.55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38</v>
      </c>
      <c r="AG54">
        <v>0.6875</v>
      </c>
      <c r="AH54">
        <v>2</v>
      </c>
      <c r="AI54">
        <v>27243224</v>
      </c>
      <c r="AJ54">
        <v>38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ROW(Source!A29)</f>
        <v>29</v>
      </c>
      <c r="B55">
        <v>27243234</v>
      </c>
      <c r="C55">
        <v>27243222</v>
      </c>
      <c r="D55">
        <v>24297465</v>
      </c>
      <c r="E55">
        <v>1</v>
      </c>
      <c r="F55">
        <v>1</v>
      </c>
      <c r="G55">
        <v>1</v>
      </c>
      <c r="H55">
        <v>2</v>
      </c>
      <c r="I55" t="s">
        <v>336</v>
      </c>
      <c r="J55" t="s">
        <v>337</v>
      </c>
      <c r="K55" t="s">
        <v>338</v>
      </c>
      <c r="L55">
        <v>1368</v>
      </c>
      <c r="N55">
        <v>1011</v>
      </c>
      <c r="O55" t="s">
        <v>262</v>
      </c>
      <c r="P55" t="s">
        <v>262</v>
      </c>
      <c r="Q55">
        <v>1</v>
      </c>
      <c r="X55">
        <v>0.35</v>
      </c>
      <c r="Y55">
        <v>0</v>
      </c>
      <c r="Z55">
        <v>86.4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38</v>
      </c>
      <c r="AG55">
        <v>0.4375</v>
      </c>
      <c r="AH55">
        <v>2</v>
      </c>
      <c r="AI55">
        <v>27243225</v>
      </c>
      <c r="AJ55">
        <v>39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ROW(Source!A29)</f>
        <v>29</v>
      </c>
      <c r="B56">
        <v>27243235</v>
      </c>
      <c r="C56">
        <v>27243222</v>
      </c>
      <c r="D56">
        <v>24262159</v>
      </c>
      <c r="E56">
        <v>1</v>
      </c>
      <c r="F56">
        <v>1</v>
      </c>
      <c r="G56">
        <v>1</v>
      </c>
      <c r="H56">
        <v>2</v>
      </c>
      <c r="I56" t="s">
        <v>281</v>
      </c>
      <c r="J56" t="s">
        <v>282</v>
      </c>
      <c r="K56" t="s">
        <v>283</v>
      </c>
      <c r="L56">
        <v>1368</v>
      </c>
      <c r="N56">
        <v>1011</v>
      </c>
      <c r="O56" t="s">
        <v>262</v>
      </c>
      <c r="P56" t="s">
        <v>262</v>
      </c>
      <c r="Q56">
        <v>1</v>
      </c>
      <c r="X56">
        <v>0.2</v>
      </c>
      <c r="Y56">
        <v>0</v>
      </c>
      <c r="Z56">
        <v>111.99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38</v>
      </c>
      <c r="AG56">
        <v>0.25</v>
      </c>
      <c r="AH56">
        <v>2</v>
      </c>
      <c r="AI56">
        <v>27243226</v>
      </c>
      <c r="AJ56">
        <v>40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ROW(Source!A29)</f>
        <v>29</v>
      </c>
      <c r="B57">
        <v>27243236</v>
      </c>
      <c r="C57">
        <v>27243222</v>
      </c>
      <c r="D57">
        <v>24268654</v>
      </c>
      <c r="E57">
        <v>1</v>
      </c>
      <c r="F57">
        <v>1</v>
      </c>
      <c r="G57">
        <v>1</v>
      </c>
      <c r="H57">
        <v>2</v>
      </c>
      <c r="I57" t="s">
        <v>339</v>
      </c>
      <c r="J57" t="s">
        <v>340</v>
      </c>
      <c r="K57" t="s">
        <v>341</v>
      </c>
      <c r="L57">
        <v>1368</v>
      </c>
      <c r="N57">
        <v>1011</v>
      </c>
      <c r="O57" t="s">
        <v>262</v>
      </c>
      <c r="P57" t="s">
        <v>262</v>
      </c>
      <c r="Q57">
        <v>1</v>
      </c>
      <c r="X57">
        <v>1.84</v>
      </c>
      <c r="Y57">
        <v>0</v>
      </c>
      <c r="Z57">
        <v>30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38</v>
      </c>
      <c r="AG57">
        <v>2.3000000000000003</v>
      </c>
      <c r="AH57">
        <v>3</v>
      </c>
      <c r="AI57">
        <v>-1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ROW(Source!A29)</f>
        <v>29</v>
      </c>
      <c r="B58">
        <v>27243237</v>
      </c>
      <c r="C58">
        <v>27243222</v>
      </c>
      <c r="D58">
        <v>24262102</v>
      </c>
      <c r="E58">
        <v>1</v>
      </c>
      <c r="F58">
        <v>1</v>
      </c>
      <c r="G58">
        <v>1</v>
      </c>
      <c r="H58">
        <v>2</v>
      </c>
      <c r="I58" t="s">
        <v>271</v>
      </c>
      <c r="J58" t="s">
        <v>272</v>
      </c>
      <c r="K58" t="s">
        <v>273</v>
      </c>
      <c r="L58">
        <v>1368</v>
      </c>
      <c r="N58">
        <v>1011</v>
      </c>
      <c r="O58" t="s">
        <v>262</v>
      </c>
      <c r="P58" t="s">
        <v>262</v>
      </c>
      <c r="Q58">
        <v>1</v>
      </c>
      <c r="X58">
        <v>0.28</v>
      </c>
      <c r="Y58">
        <v>0</v>
      </c>
      <c r="Z58">
        <v>87.17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38</v>
      </c>
      <c r="AG58">
        <v>0.35000000000000003</v>
      </c>
      <c r="AH58">
        <v>2</v>
      </c>
      <c r="AI58">
        <v>27243227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ROW(Source!A29)</f>
        <v>29</v>
      </c>
      <c r="B59">
        <v>27243238</v>
      </c>
      <c r="C59">
        <v>27243222</v>
      </c>
      <c r="D59">
        <v>24330818</v>
      </c>
      <c r="E59">
        <v>1</v>
      </c>
      <c r="F59">
        <v>1</v>
      </c>
      <c r="G59">
        <v>1</v>
      </c>
      <c r="H59">
        <v>3</v>
      </c>
      <c r="I59" t="s">
        <v>480</v>
      </c>
      <c r="J59" t="s">
        <v>481</v>
      </c>
      <c r="K59" t="s">
        <v>482</v>
      </c>
      <c r="L59">
        <v>1348</v>
      </c>
      <c r="N59">
        <v>1009</v>
      </c>
      <c r="O59" t="s">
        <v>100</v>
      </c>
      <c r="P59" t="s">
        <v>100</v>
      </c>
      <c r="Q59">
        <v>1000</v>
      </c>
      <c r="X59">
        <v>0.025</v>
      </c>
      <c r="Y59">
        <v>1530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0.025</v>
      </c>
      <c r="AH59">
        <v>3</v>
      </c>
      <c r="AI59">
        <v>-1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ROW(Source!A29)</f>
        <v>29</v>
      </c>
      <c r="B60">
        <v>27243239</v>
      </c>
      <c r="C60">
        <v>27243222</v>
      </c>
      <c r="D60">
        <v>24313914</v>
      </c>
      <c r="E60">
        <v>1</v>
      </c>
      <c r="F60">
        <v>1</v>
      </c>
      <c r="G60">
        <v>1</v>
      </c>
      <c r="H60">
        <v>3</v>
      </c>
      <c r="I60" t="s">
        <v>483</v>
      </c>
      <c r="J60" t="s">
        <v>484</v>
      </c>
      <c r="K60" t="s">
        <v>485</v>
      </c>
      <c r="L60">
        <v>1348</v>
      </c>
      <c r="N60">
        <v>1009</v>
      </c>
      <c r="O60" t="s">
        <v>100</v>
      </c>
      <c r="P60" t="s">
        <v>100</v>
      </c>
      <c r="Q60">
        <v>1000</v>
      </c>
      <c r="X60">
        <v>0.058</v>
      </c>
      <c r="Y60">
        <v>2606.9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0.058</v>
      </c>
      <c r="AH60">
        <v>3</v>
      </c>
      <c r="AI60">
        <v>-1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ROW(Source!A29)</f>
        <v>29</v>
      </c>
      <c r="B61">
        <v>27243240</v>
      </c>
      <c r="C61">
        <v>27243222</v>
      </c>
      <c r="D61">
        <v>24313797</v>
      </c>
      <c r="E61">
        <v>1</v>
      </c>
      <c r="F61">
        <v>1</v>
      </c>
      <c r="G61">
        <v>1</v>
      </c>
      <c r="H61">
        <v>3</v>
      </c>
      <c r="I61" t="s">
        <v>342</v>
      </c>
      <c r="J61" t="s">
        <v>343</v>
      </c>
      <c r="K61" t="s">
        <v>486</v>
      </c>
      <c r="L61">
        <v>1348</v>
      </c>
      <c r="N61">
        <v>1009</v>
      </c>
      <c r="O61" t="s">
        <v>100</v>
      </c>
      <c r="P61" t="s">
        <v>100</v>
      </c>
      <c r="Q61">
        <v>1000</v>
      </c>
      <c r="X61">
        <v>0.201</v>
      </c>
      <c r="Y61">
        <v>3390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0.201</v>
      </c>
      <c r="AH61">
        <v>3</v>
      </c>
      <c r="AI61">
        <v>-1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ROW(Source!A29)</f>
        <v>29</v>
      </c>
      <c r="B62">
        <v>27243241</v>
      </c>
      <c r="C62">
        <v>27243222</v>
      </c>
      <c r="D62">
        <v>24313278</v>
      </c>
      <c r="E62">
        <v>1</v>
      </c>
      <c r="F62">
        <v>1</v>
      </c>
      <c r="G62">
        <v>1</v>
      </c>
      <c r="H62">
        <v>3</v>
      </c>
      <c r="I62" t="s">
        <v>354</v>
      </c>
      <c r="J62" t="s">
        <v>355</v>
      </c>
      <c r="K62" t="s">
        <v>488</v>
      </c>
      <c r="L62">
        <v>1339</v>
      </c>
      <c r="N62">
        <v>1007</v>
      </c>
      <c r="O62" t="s">
        <v>302</v>
      </c>
      <c r="P62" t="s">
        <v>302</v>
      </c>
      <c r="Q62">
        <v>1</v>
      </c>
      <c r="X62">
        <v>6.18</v>
      </c>
      <c r="Y62">
        <v>530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6.18</v>
      </c>
      <c r="AH62">
        <v>2</v>
      </c>
      <c r="AI62">
        <v>27243231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27243252</v>
      </c>
      <c r="C63">
        <v>27243242</v>
      </c>
      <c r="D63">
        <v>9416287</v>
      </c>
      <c r="E63">
        <v>1</v>
      </c>
      <c r="F63">
        <v>1</v>
      </c>
      <c r="G63">
        <v>1</v>
      </c>
      <c r="H63">
        <v>1</v>
      </c>
      <c r="I63" t="s">
        <v>348</v>
      </c>
      <c r="K63" t="s">
        <v>349</v>
      </c>
      <c r="L63">
        <v>1369</v>
      </c>
      <c r="N63">
        <v>1013</v>
      </c>
      <c r="O63" t="s">
        <v>258</v>
      </c>
      <c r="P63" t="s">
        <v>258</v>
      </c>
      <c r="Q63">
        <v>1</v>
      </c>
      <c r="X63">
        <v>35.26</v>
      </c>
      <c r="Y63">
        <v>0</v>
      </c>
      <c r="Z63">
        <v>0</v>
      </c>
      <c r="AA63">
        <v>0</v>
      </c>
      <c r="AB63">
        <v>9.51</v>
      </c>
      <c r="AC63">
        <v>0</v>
      </c>
      <c r="AD63">
        <v>1</v>
      </c>
      <c r="AE63">
        <v>1</v>
      </c>
      <c r="AF63" t="s">
        <v>69</v>
      </c>
      <c r="AG63">
        <v>81.09799999999998</v>
      </c>
      <c r="AH63">
        <v>2</v>
      </c>
      <c r="AI63">
        <v>27243243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27243253</v>
      </c>
      <c r="C64">
        <v>27243242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23</v>
      </c>
      <c r="K64" t="s">
        <v>276</v>
      </c>
      <c r="L64">
        <v>608254</v>
      </c>
      <c r="N64">
        <v>1013</v>
      </c>
      <c r="O64" t="s">
        <v>277</v>
      </c>
      <c r="P64" t="s">
        <v>277</v>
      </c>
      <c r="Q64">
        <v>1</v>
      </c>
      <c r="X64">
        <v>0.55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68</v>
      </c>
      <c r="AG64">
        <v>1.375</v>
      </c>
      <c r="AH64">
        <v>2</v>
      </c>
      <c r="AI64">
        <v>27243244</v>
      </c>
      <c r="AJ64">
        <v>47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27243254</v>
      </c>
      <c r="C65">
        <v>27243242</v>
      </c>
      <c r="D65">
        <v>24297465</v>
      </c>
      <c r="E65">
        <v>1</v>
      </c>
      <c r="F65">
        <v>1</v>
      </c>
      <c r="G65">
        <v>1</v>
      </c>
      <c r="H65">
        <v>2</v>
      </c>
      <c r="I65" t="s">
        <v>336</v>
      </c>
      <c r="J65" t="s">
        <v>337</v>
      </c>
      <c r="K65" t="s">
        <v>338</v>
      </c>
      <c r="L65">
        <v>1368</v>
      </c>
      <c r="N65">
        <v>1011</v>
      </c>
      <c r="O65" t="s">
        <v>262</v>
      </c>
      <c r="P65" t="s">
        <v>262</v>
      </c>
      <c r="Q65">
        <v>1</v>
      </c>
      <c r="X65">
        <v>0.35</v>
      </c>
      <c r="Y65">
        <v>0</v>
      </c>
      <c r="Z65">
        <v>86.4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68</v>
      </c>
      <c r="AG65">
        <v>0.875</v>
      </c>
      <c r="AH65">
        <v>2</v>
      </c>
      <c r="AI65">
        <v>27243245</v>
      </c>
      <c r="AJ65">
        <v>48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27243255</v>
      </c>
      <c r="C66">
        <v>27243242</v>
      </c>
      <c r="D66">
        <v>24262159</v>
      </c>
      <c r="E66">
        <v>1</v>
      </c>
      <c r="F66">
        <v>1</v>
      </c>
      <c r="G66">
        <v>1</v>
      </c>
      <c r="H66">
        <v>2</v>
      </c>
      <c r="I66" t="s">
        <v>281</v>
      </c>
      <c r="J66" t="s">
        <v>282</v>
      </c>
      <c r="K66" t="s">
        <v>283</v>
      </c>
      <c r="L66">
        <v>1368</v>
      </c>
      <c r="N66">
        <v>1011</v>
      </c>
      <c r="O66" t="s">
        <v>262</v>
      </c>
      <c r="P66" t="s">
        <v>262</v>
      </c>
      <c r="Q66">
        <v>1</v>
      </c>
      <c r="X66">
        <v>0.2</v>
      </c>
      <c r="Y66">
        <v>0</v>
      </c>
      <c r="Z66">
        <v>111.99</v>
      </c>
      <c r="AA66">
        <v>13.5</v>
      </c>
      <c r="AB66">
        <v>0</v>
      </c>
      <c r="AC66">
        <v>0</v>
      </c>
      <c r="AD66">
        <v>1</v>
      </c>
      <c r="AE66">
        <v>0</v>
      </c>
      <c r="AF66" t="s">
        <v>68</v>
      </c>
      <c r="AG66">
        <v>0.5</v>
      </c>
      <c r="AH66">
        <v>2</v>
      </c>
      <c r="AI66">
        <v>27243246</v>
      </c>
      <c r="AJ66">
        <v>49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27243256</v>
      </c>
      <c r="C67">
        <v>27243242</v>
      </c>
      <c r="D67">
        <v>24268654</v>
      </c>
      <c r="E67">
        <v>1</v>
      </c>
      <c r="F67">
        <v>1</v>
      </c>
      <c r="G67">
        <v>1</v>
      </c>
      <c r="H67">
        <v>2</v>
      </c>
      <c r="I67" t="s">
        <v>339</v>
      </c>
      <c r="J67" t="s">
        <v>340</v>
      </c>
      <c r="K67" t="s">
        <v>341</v>
      </c>
      <c r="L67">
        <v>1368</v>
      </c>
      <c r="N67">
        <v>1011</v>
      </c>
      <c r="O67" t="s">
        <v>262</v>
      </c>
      <c r="P67" t="s">
        <v>262</v>
      </c>
      <c r="Q67">
        <v>1</v>
      </c>
      <c r="X67">
        <v>1.65</v>
      </c>
      <c r="Y67">
        <v>0</v>
      </c>
      <c r="Z67">
        <v>30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68</v>
      </c>
      <c r="AG67">
        <v>4.125</v>
      </c>
      <c r="AH67">
        <v>3</v>
      </c>
      <c r="AI67">
        <v>-1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ROW(Source!A30)</f>
        <v>30</v>
      </c>
      <c r="B68">
        <v>27243257</v>
      </c>
      <c r="C68">
        <v>27243242</v>
      </c>
      <c r="D68">
        <v>24262102</v>
      </c>
      <c r="E68">
        <v>1</v>
      </c>
      <c r="F68">
        <v>1</v>
      </c>
      <c r="G68">
        <v>1</v>
      </c>
      <c r="H68">
        <v>2</v>
      </c>
      <c r="I68" t="s">
        <v>271</v>
      </c>
      <c r="J68" t="s">
        <v>272</v>
      </c>
      <c r="K68" t="s">
        <v>273</v>
      </c>
      <c r="L68">
        <v>1368</v>
      </c>
      <c r="N68">
        <v>1011</v>
      </c>
      <c r="O68" t="s">
        <v>262</v>
      </c>
      <c r="P68" t="s">
        <v>262</v>
      </c>
      <c r="Q68">
        <v>1</v>
      </c>
      <c r="X68">
        <v>0.28</v>
      </c>
      <c r="Y68">
        <v>0</v>
      </c>
      <c r="Z68">
        <v>87.17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68</v>
      </c>
      <c r="AG68">
        <v>0.7000000000000001</v>
      </c>
      <c r="AH68">
        <v>2</v>
      </c>
      <c r="AI68">
        <v>27243247</v>
      </c>
      <c r="AJ68">
        <v>50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ROW(Source!A30)</f>
        <v>30</v>
      </c>
      <c r="B69">
        <v>27243258</v>
      </c>
      <c r="C69">
        <v>27243242</v>
      </c>
      <c r="D69">
        <v>24313797</v>
      </c>
      <c r="E69">
        <v>1</v>
      </c>
      <c r="F69">
        <v>1</v>
      </c>
      <c r="G69">
        <v>1</v>
      </c>
      <c r="H69">
        <v>3</v>
      </c>
      <c r="I69" t="s">
        <v>342</v>
      </c>
      <c r="J69" t="s">
        <v>343</v>
      </c>
      <c r="K69" t="s">
        <v>486</v>
      </c>
      <c r="L69">
        <v>1348</v>
      </c>
      <c r="N69">
        <v>1009</v>
      </c>
      <c r="O69" t="s">
        <v>100</v>
      </c>
      <c r="P69" t="s">
        <v>100</v>
      </c>
      <c r="Q69">
        <v>1000</v>
      </c>
      <c r="X69">
        <v>0.201</v>
      </c>
      <c r="Y69">
        <v>3390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67</v>
      </c>
      <c r="AG69">
        <v>0.402</v>
      </c>
      <c r="AH69">
        <v>3</v>
      </c>
      <c r="AI69">
        <v>-1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ROW(Source!A30)</f>
        <v>30</v>
      </c>
      <c r="B70">
        <v>27243259</v>
      </c>
      <c r="C70">
        <v>27243242</v>
      </c>
      <c r="D70">
        <v>24313278</v>
      </c>
      <c r="E70">
        <v>1</v>
      </c>
      <c r="F70">
        <v>1</v>
      </c>
      <c r="G70">
        <v>1</v>
      </c>
      <c r="H70">
        <v>3</v>
      </c>
      <c r="I70" t="s">
        <v>354</v>
      </c>
      <c r="J70" t="s">
        <v>355</v>
      </c>
      <c r="K70" t="s">
        <v>488</v>
      </c>
      <c r="L70">
        <v>1339</v>
      </c>
      <c r="N70">
        <v>1007</v>
      </c>
      <c r="O70" t="s">
        <v>302</v>
      </c>
      <c r="P70" t="s">
        <v>302</v>
      </c>
      <c r="Q70">
        <v>1</v>
      </c>
      <c r="X70">
        <v>6.18</v>
      </c>
      <c r="Y70">
        <v>530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67</v>
      </c>
      <c r="AG70">
        <v>12.36</v>
      </c>
      <c r="AH70">
        <v>2</v>
      </c>
      <c r="AI70">
        <v>27243251</v>
      </c>
      <c r="AJ70">
        <v>54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27243279</v>
      </c>
      <c r="C71">
        <v>27243260</v>
      </c>
      <c r="D71">
        <v>9415666</v>
      </c>
      <c r="E71">
        <v>1</v>
      </c>
      <c r="F71">
        <v>1</v>
      </c>
      <c r="G71">
        <v>1</v>
      </c>
      <c r="H71">
        <v>1</v>
      </c>
      <c r="I71" t="s">
        <v>274</v>
      </c>
      <c r="K71" t="s">
        <v>275</v>
      </c>
      <c r="L71">
        <v>1369</v>
      </c>
      <c r="N71">
        <v>1013</v>
      </c>
      <c r="O71" t="s">
        <v>258</v>
      </c>
      <c r="P71" t="s">
        <v>258</v>
      </c>
      <c r="Q71">
        <v>1</v>
      </c>
      <c r="X71">
        <v>63.28</v>
      </c>
      <c r="Y71">
        <v>0</v>
      </c>
      <c r="Z71">
        <v>0</v>
      </c>
      <c r="AA71">
        <v>0</v>
      </c>
      <c r="AB71">
        <v>8.74</v>
      </c>
      <c r="AC71">
        <v>0</v>
      </c>
      <c r="AD71">
        <v>1</v>
      </c>
      <c r="AE71">
        <v>1</v>
      </c>
      <c r="AF71" t="s">
        <v>39</v>
      </c>
      <c r="AG71">
        <v>72.77199999999999</v>
      </c>
      <c r="AH71">
        <v>2</v>
      </c>
      <c r="AI71">
        <v>27243261</v>
      </c>
      <c r="AJ71">
        <v>55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ROW(Source!A31)</f>
        <v>31</v>
      </c>
      <c r="B72">
        <v>27243280</v>
      </c>
      <c r="C72">
        <v>27243260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23</v>
      </c>
      <c r="K72" t="s">
        <v>276</v>
      </c>
      <c r="L72">
        <v>608254</v>
      </c>
      <c r="N72">
        <v>1013</v>
      </c>
      <c r="O72" t="s">
        <v>277</v>
      </c>
      <c r="P72" t="s">
        <v>277</v>
      </c>
      <c r="Q72">
        <v>1</v>
      </c>
      <c r="X72">
        <v>3.82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38</v>
      </c>
      <c r="AG72">
        <v>4.7749999999999995</v>
      </c>
      <c r="AH72">
        <v>2</v>
      </c>
      <c r="AI72">
        <v>27243262</v>
      </c>
      <c r="AJ72">
        <v>56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27243281</v>
      </c>
      <c r="C73">
        <v>27243260</v>
      </c>
      <c r="D73">
        <v>24316122</v>
      </c>
      <c r="E73">
        <v>1</v>
      </c>
      <c r="F73">
        <v>1</v>
      </c>
      <c r="G73">
        <v>1</v>
      </c>
      <c r="H73">
        <v>2</v>
      </c>
      <c r="I73" t="s">
        <v>278</v>
      </c>
      <c r="J73" t="s">
        <v>279</v>
      </c>
      <c r="K73" t="s">
        <v>280</v>
      </c>
      <c r="L73">
        <v>1368</v>
      </c>
      <c r="N73">
        <v>1011</v>
      </c>
      <c r="O73" t="s">
        <v>262</v>
      </c>
      <c r="P73" t="s">
        <v>262</v>
      </c>
      <c r="Q73">
        <v>1</v>
      </c>
      <c r="X73">
        <v>0.1</v>
      </c>
      <c r="Y73">
        <v>0</v>
      </c>
      <c r="Z73">
        <v>120.52</v>
      </c>
      <c r="AA73">
        <v>15.42</v>
      </c>
      <c r="AB73">
        <v>0</v>
      </c>
      <c r="AC73">
        <v>0</v>
      </c>
      <c r="AD73">
        <v>1</v>
      </c>
      <c r="AE73">
        <v>0</v>
      </c>
      <c r="AF73" t="s">
        <v>38</v>
      </c>
      <c r="AG73">
        <v>0.125</v>
      </c>
      <c r="AH73">
        <v>2</v>
      </c>
      <c r="AI73">
        <v>27243263</v>
      </c>
      <c r="AJ73">
        <v>57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27243282</v>
      </c>
      <c r="C74">
        <v>27243260</v>
      </c>
      <c r="D74">
        <v>24262159</v>
      </c>
      <c r="E74">
        <v>1</v>
      </c>
      <c r="F74">
        <v>1</v>
      </c>
      <c r="G74">
        <v>1</v>
      </c>
      <c r="H74">
        <v>2</v>
      </c>
      <c r="I74" t="s">
        <v>281</v>
      </c>
      <c r="J74" t="s">
        <v>282</v>
      </c>
      <c r="K74" t="s">
        <v>283</v>
      </c>
      <c r="L74">
        <v>1368</v>
      </c>
      <c r="N74">
        <v>1011</v>
      </c>
      <c r="O74" t="s">
        <v>262</v>
      </c>
      <c r="P74" t="s">
        <v>262</v>
      </c>
      <c r="Q74">
        <v>1</v>
      </c>
      <c r="X74">
        <v>0.12</v>
      </c>
      <c r="Y74">
        <v>0</v>
      </c>
      <c r="Z74">
        <v>111.99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38</v>
      </c>
      <c r="AG74">
        <v>0.15</v>
      </c>
      <c r="AH74">
        <v>2</v>
      </c>
      <c r="AI74">
        <v>27243264</v>
      </c>
      <c r="AJ74">
        <v>58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ROW(Source!A31)</f>
        <v>31</v>
      </c>
      <c r="B75">
        <v>27243283</v>
      </c>
      <c r="C75">
        <v>27243260</v>
      </c>
      <c r="D75">
        <v>24293024</v>
      </c>
      <c r="E75">
        <v>1</v>
      </c>
      <c r="F75">
        <v>1</v>
      </c>
      <c r="G75">
        <v>1</v>
      </c>
      <c r="H75">
        <v>2</v>
      </c>
      <c r="I75" t="s">
        <v>284</v>
      </c>
      <c r="J75" t="s">
        <v>285</v>
      </c>
      <c r="K75" t="s">
        <v>286</v>
      </c>
      <c r="L75">
        <v>1368</v>
      </c>
      <c r="N75">
        <v>1011</v>
      </c>
      <c r="O75" t="s">
        <v>262</v>
      </c>
      <c r="P75" t="s">
        <v>262</v>
      </c>
      <c r="Q75">
        <v>1</v>
      </c>
      <c r="X75">
        <v>3.6</v>
      </c>
      <c r="Y75">
        <v>0</v>
      </c>
      <c r="Z75">
        <v>175.56</v>
      </c>
      <c r="AA75">
        <v>14.4</v>
      </c>
      <c r="AB75">
        <v>0</v>
      </c>
      <c r="AC75">
        <v>0</v>
      </c>
      <c r="AD75">
        <v>1</v>
      </c>
      <c r="AE75">
        <v>0</v>
      </c>
      <c r="AF75" t="s">
        <v>38</v>
      </c>
      <c r="AG75">
        <v>4.5</v>
      </c>
      <c r="AH75">
        <v>2</v>
      </c>
      <c r="AI75">
        <v>27243265</v>
      </c>
      <c r="AJ75">
        <v>59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ROW(Source!A31)</f>
        <v>31</v>
      </c>
      <c r="B76">
        <v>27243284</v>
      </c>
      <c r="C76">
        <v>27243260</v>
      </c>
      <c r="D76">
        <v>24270272</v>
      </c>
      <c r="E76">
        <v>1</v>
      </c>
      <c r="F76">
        <v>1</v>
      </c>
      <c r="G76">
        <v>1</v>
      </c>
      <c r="H76">
        <v>2</v>
      </c>
      <c r="I76" t="s">
        <v>290</v>
      </c>
      <c r="J76" t="s">
        <v>291</v>
      </c>
      <c r="K76" t="s">
        <v>292</v>
      </c>
      <c r="L76">
        <v>1368</v>
      </c>
      <c r="N76">
        <v>1011</v>
      </c>
      <c r="O76" t="s">
        <v>262</v>
      </c>
      <c r="P76" t="s">
        <v>262</v>
      </c>
      <c r="Q76">
        <v>1</v>
      </c>
      <c r="X76">
        <v>1.34</v>
      </c>
      <c r="Y76">
        <v>0</v>
      </c>
      <c r="Z76">
        <v>1.2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38</v>
      </c>
      <c r="AG76">
        <v>1.675</v>
      </c>
      <c r="AH76">
        <v>2</v>
      </c>
      <c r="AI76">
        <v>27243266</v>
      </c>
      <c r="AJ76">
        <v>60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ROW(Source!A31)</f>
        <v>31</v>
      </c>
      <c r="B77">
        <v>27243285</v>
      </c>
      <c r="C77">
        <v>27243260</v>
      </c>
      <c r="D77">
        <v>24298562</v>
      </c>
      <c r="E77">
        <v>1</v>
      </c>
      <c r="F77">
        <v>1</v>
      </c>
      <c r="G77">
        <v>1</v>
      </c>
      <c r="H77">
        <v>2</v>
      </c>
      <c r="I77" t="s">
        <v>293</v>
      </c>
      <c r="J77" t="s">
        <v>294</v>
      </c>
      <c r="K77" t="s">
        <v>295</v>
      </c>
      <c r="L77">
        <v>1368</v>
      </c>
      <c r="N77">
        <v>1011</v>
      </c>
      <c r="O77" t="s">
        <v>262</v>
      </c>
      <c r="P77" t="s">
        <v>262</v>
      </c>
      <c r="Q77">
        <v>1</v>
      </c>
      <c r="X77">
        <v>0.1</v>
      </c>
      <c r="Y77">
        <v>0</v>
      </c>
      <c r="Z77">
        <v>12.31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38</v>
      </c>
      <c r="AG77">
        <v>0.125</v>
      </c>
      <c r="AH77">
        <v>2</v>
      </c>
      <c r="AI77">
        <v>27243267</v>
      </c>
      <c r="AJ77">
        <v>61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ROW(Source!A31)</f>
        <v>31</v>
      </c>
      <c r="B78">
        <v>27243286</v>
      </c>
      <c r="C78">
        <v>27243260</v>
      </c>
      <c r="D78">
        <v>24262102</v>
      </c>
      <c r="E78">
        <v>1</v>
      </c>
      <c r="F78">
        <v>1</v>
      </c>
      <c r="G78">
        <v>1</v>
      </c>
      <c r="H78">
        <v>2</v>
      </c>
      <c r="I78" t="s">
        <v>271</v>
      </c>
      <c r="J78" t="s">
        <v>272</v>
      </c>
      <c r="K78" t="s">
        <v>273</v>
      </c>
      <c r="L78">
        <v>1368</v>
      </c>
      <c r="N78">
        <v>1011</v>
      </c>
      <c r="O78" t="s">
        <v>262</v>
      </c>
      <c r="P78" t="s">
        <v>262</v>
      </c>
      <c r="Q78">
        <v>1</v>
      </c>
      <c r="X78">
        <v>0.19</v>
      </c>
      <c r="Y78">
        <v>0</v>
      </c>
      <c r="Z78">
        <v>87.17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38</v>
      </c>
      <c r="AG78">
        <v>0.2375</v>
      </c>
      <c r="AH78">
        <v>2</v>
      </c>
      <c r="AI78">
        <v>27243268</v>
      </c>
      <c r="AJ78">
        <v>62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ROW(Source!A31)</f>
        <v>31</v>
      </c>
      <c r="B79">
        <v>27243287</v>
      </c>
      <c r="C79">
        <v>27243260</v>
      </c>
      <c r="D79">
        <v>24316113</v>
      </c>
      <c r="E79">
        <v>1</v>
      </c>
      <c r="F79">
        <v>1</v>
      </c>
      <c r="G79">
        <v>1</v>
      </c>
      <c r="H79">
        <v>3</v>
      </c>
      <c r="I79" t="s">
        <v>464</v>
      </c>
      <c r="J79" t="s">
        <v>465</v>
      </c>
      <c r="K79" t="s">
        <v>466</v>
      </c>
      <c r="L79">
        <v>1348</v>
      </c>
      <c r="N79">
        <v>1009</v>
      </c>
      <c r="O79" t="s">
        <v>100</v>
      </c>
      <c r="P79" t="s">
        <v>100</v>
      </c>
      <c r="Q79">
        <v>1000</v>
      </c>
      <c r="X79">
        <v>0.0001</v>
      </c>
      <c r="Y79">
        <v>37900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0.0001</v>
      </c>
      <c r="AH79">
        <v>3</v>
      </c>
      <c r="AI79">
        <v>-1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ROW(Source!A31)</f>
        <v>31</v>
      </c>
      <c r="B80">
        <v>27243288</v>
      </c>
      <c r="C80">
        <v>27243260</v>
      </c>
      <c r="D80">
        <v>24270256</v>
      </c>
      <c r="E80">
        <v>1</v>
      </c>
      <c r="F80">
        <v>1</v>
      </c>
      <c r="G80">
        <v>1</v>
      </c>
      <c r="H80">
        <v>3</v>
      </c>
      <c r="I80" t="s">
        <v>299</v>
      </c>
      <c r="J80" t="s">
        <v>300</v>
      </c>
      <c r="K80" t="s">
        <v>301</v>
      </c>
      <c r="L80">
        <v>1339</v>
      </c>
      <c r="N80">
        <v>1007</v>
      </c>
      <c r="O80" t="s">
        <v>302</v>
      </c>
      <c r="P80" t="s">
        <v>302</v>
      </c>
      <c r="Q80">
        <v>1</v>
      </c>
      <c r="X80">
        <v>1.2</v>
      </c>
      <c r="Y80">
        <v>6.22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1.2</v>
      </c>
      <c r="AH80">
        <v>2</v>
      </c>
      <c r="AI80">
        <v>27243269</v>
      </c>
      <c r="AJ80">
        <v>63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ROW(Source!A31)</f>
        <v>31</v>
      </c>
      <c r="B81">
        <v>27243289</v>
      </c>
      <c r="C81">
        <v>27243260</v>
      </c>
      <c r="D81">
        <v>24264207</v>
      </c>
      <c r="E81">
        <v>1</v>
      </c>
      <c r="F81">
        <v>1</v>
      </c>
      <c r="G81">
        <v>1</v>
      </c>
      <c r="H81">
        <v>3</v>
      </c>
      <c r="I81" t="s">
        <v>303</v>
      </c>
      <c r="J81" t="s">
        <v>304</v>
      </c>
      <c r="K81" t="s">
        <v>305</v>
      </c>
      <c r="L81">
        <v>1348</v>
      </c>
      <c r="N81">
        <v>1009</v>
      </c>
      <c r="O81" t="s">
        <v>100</v>
      </c>
      <c r="P81" t="s">
        <v>100</v>
      </c>
      <c r="Q81">
        <v>1000</v>
      </c>
      <c r="X81">
        <v>3E-05</v>
      </c>
      <c r="Y81">
        <v>4455.2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3E-05</v>
      </c>
      <c r="AH81">
        <v>2</v>
      </c>
      <c r="AI81">
        <v>27243270</v>
      </c>
      <c r="AJ81">
        <v>64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ROW(Source!A31)</f>
        <v>31</v>
      </c>
      <c r="B82">
        <v>27243290</v>
      </c>
      <c r="C82">
        <v>27243260</v>
      </c>
      <c r="D82">
        <v>24281571</v>
      </c>
      <c r="E82">
        <v>1</v>
      </c>
      <c r="F82">
        <v>1</v>
      </c>
      <c r="G82">
        <v>1</v>
      </c>
      <c r="H82">
        <v>3</v>
      </c>
      <c r="I82" t="s">
        <v>467</v>
      </c>
      <c r="J82" t="s">
        <v>468</v>
      </c>
      <c r="K82" t="s">
        <v>469</v>
      </c>
      <c r="L82">
        <v>1348</v>
      </c>
      <c r="N82">
        <v>1009</v>
      </c>
      <c r="O82" t="s">
        <v>100</v>
      </c>
      <c r="P82" t="s">
        <v>100</v>
      </c>
      <c r="Q82">
        <v>1000</v>
      </c>
      <c r="X82">
        <v>0.00194</v>
      </c>
      <c r="Y82">
        <v>4920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0.00194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ROW(Source!A31)</f>
        <v>31</v>
      </c>
      <c r="B83">
        <v>27243291</v>
      </c>
      <c r="C83">
        <v>27243260</v>
      </c>
      <c r="D83">
        <v>24289060</v>
      </c>
      <c r="E83">
        <v>1</v>
      </c>
      <c r="F83">
        <v>1</v>
      </c>
      <c r="G83">
        <v>1</v>
      </c>
      <c r="H83">
        <v>3</v>
      </c>
      <c r="I83" t="s">
        <v>306</v>
      </c>
      <c r="J83" t="s">
        <v>307</v>
      </c>
      <c r="K83" t="s">
        <v>308</v>
      </c>
      <c r="L83">
        <v>1348</v>
      </c>
      <c r="N83">
        <v>1009</v>
      </c>
      <c r="O83" t="s">
        <v>100</v>
      </c>
      <c r="P83" t="s">
        <v>100</v>
      </c>
      <c r="Q83">
        <v>1000</v>
      </c>
      <c r="X83">
        <v>0.00044</v>
      </c>
      <c r="Y83">
        <v>10315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0.00044</v>
      </c>
      <c r="AH83">
        <v>2</v>
      </c>
      <c r="AI83">
        <v>27243271</v>
      </c>
      <c r="AJ83">
        <v>65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ROW(Source!A31)</f>
        <v>31</v>
      </c>
      <c r="B84">
        <v>27243292</v>
      </c>
      <c r="C84">
        <v>27243260</v>
      </c>
      <c r="D84">
        <v>24262125</v>
      </c>
      <c r="E84">
        <v>1</v>
      </c>
      <c r="F84">
        <v>1</v>
      </c>
      <c r="G84">
        <v>1</v>
      </c>
      <c r="H84">
        <v>3</v>
      </c>
      <c r="I84" t="s">
        <v>309</v>
      </c>
      <c r="J84" t="s">
        <v>310</v>
      </c>
      <c r="K84" t="s">
        <v>311</v>
      </c>
      <c r="L84">
        <v>1348</v>
      </c>
      <c r="N84">
        <v>1009</v>
      </c>
      <c r="O84" t="s">
        <v>100</v>
      </c>
      <c r="P84" t="s">
        <v>100</v>
      </c>
      <c r="Q84">
        <v>1000</v>
      </c>
      <c r="X84">
        <v>0.021</v>
      </c>
      <c r="Y84">
        <v>9040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0.021</v>
      </c>
      <c r="AH84">
        <v>2</v>
      </c>
      <c r="AI84">
        <v>27243272</v>
      </c>
      <c r="AJ84">
        <v>66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ROW(Source!A31)</f>
        <v>31</v>
      </c>
      <c r="B85">
        <v>27243293</v>
      </c>
      <c r="C85">
        <v>27243260</v>
      </c>
      <c r="D85">
        <v>24262152</v>
      </c>
      <c r="E85">
        <v>1</v>
      </c>
      <c r="F85">
        <v>1</v>
      </c>
      <c r="G85">
        <v>1</v>
      </c>
      <c r="H85">
        <v>3</v>
      </c>
      <c r="I85" t="s">
        <v>358</v>
      </c>
      <c r="J85" t="s">
        <v>359</v>
      </c>
      <c r="K85" t="s">
        <v>360</v>
      </c>
      <c r="L85">
        <v>1348</v>
      </c>
      <c r="N85">
        <v>1009</v>
      </c>
      <c r="O85" t="s">
        <v>100</v>
      </c>
      <c r="P85" t="s">
        <v>100</v>
      </c>
      <c r="Q85">
        <v>1000</v>
      </c>
      <c r="X85">
        <v>1E-05</v>
      </c>
      <c r="Y85">
        <v>11978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1E-05</v>
      </c>
      <c r="AH85">
        <v>2</v>
      </c>
      <c r="AI85">
        <v>27243273</v>
      </c>
      <c r="AJ85">
        <v>67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ROW(Source!A31)</f>
        <v>31</v>
      </c>
      <c r="B86">
        <v>27243294</v>
      </c>
      <c r="C86">
        <v>27243260</v>
      </c>
      <c r="D86">
        <v>24285323</v>
      </c>
      <c r="E86">
        <v>1</v>
      </c>
      <c r="F86">
        <v>1</v>
      </c>
      <c r="G86">
        <v>1</v>
      </c>
      <c r="H86">
        <v>3</v>
      </c>
      <c r="I86" t="s">
        <v>312</v>
      </c>
      <c r="J86" t="s">
        <v>313</v>
      </c>
      <c r="K86" t="s">
        <v>314</v>
      </c>
      <c r="L86">
        <v>1346</v>
      </c>
      <c r="N86">
        <v>1009</v>
      </c>
      <c r="O86" t="s">
        <v>315</v>
      </c>
      <c r="P86" t="s">
        <v>315</v>
      </c>
      <c r="Q86">
        <v>1</v>
      </c>
      <c r="X86">
        <v>0.36</v>
      </c>
      <c r="Y86">
        <v>6.09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0.36</v>
      </c>
      <c r="AH86">
        <v>2</v>
      </c>
      <c r="AI86">
        <v>27243274</v>
      </c>
      <c r="AJ86">
        <v>68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ROW(Source!A31)</f>
        <v>31</v>
      </c>
      <c r="B87">
        <v>27243295</v>
      </c>
      <c r="C87">
        <v>27243260</v>
      </c>
      <c r="D87">
        <v>24316115</v>
      </c>
      <c r="E87">
        <v>1</v>
      </c>
      <c r="F87">
        <v>1</v>
      </c>
      <c r="G87">
        <v>1</v>
      </c>
      <c r="H87">
        <v>3</v>
      </c>
      <c r="I87" t="s">
        <v>316</v>
      </c>
      <c r="J87" t="s">
        <v>317</v>
      </c>
      <c r="K87" t="s">
        <v>318</v>
      </c>
      <c r="L87">
        <v>1348</v>
      </c>
      <c r="N87">
        <v>1009</v>
      </c>
      <c r="O87" t="s">
        <v>100</v>
      </c>
      <c r="P87" t="s">
        <v>100</v>
      </c>
      <c r="Q87">
        <v>1000</v>
      </c>
      <c r="X87">
        <v>0.0006</v>
      </c>
      <c r="Y87">
        <v>9420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0.0006</v>
      </c>
      <c r="AH87">
        <v>2</v>
      </c>
      <c r="AI87">
        <v>27243275</v>
      </c>
      <c r="AJ87">
        <v>69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ROW(Source!A31)</f>
        <v>31</v>
      </c>
      <c r="B88">
        <v>27243296</v>
      </c>
      <c r="C88">
        <v>27243260</v>
      </c>
      <c r="D88">
        <v>24297140</v>
      </c>
      <c r="E88">
        <v>1</v>
      </c>
      <c r="F88">
        <v>1</v>
      </c>
      <c r="G88">
        <v>1</v>
      </c>
      <c r="H88">
        <v>3</v>
      </c>
      <c r="I88" t="s">
        <v>323</v>
      </c>
      <c r="J88" t="s">
        <v>324</v>
      </c>
      <c r="K88" t="s">
        <v>325</v>
      </c>
      <c r="L88">
        <v>1339</v>
      </c>
      <c r="N88">
        <v>1007</v>
      </c>
      <c r="O88" t="s">
        <v>302</v>
      </c>
      <c r="P88" t="s">
        <v>302</v>
      </c>
      <c r="Q88">
        <v>1</v>
      </c>
      <c r="X88">
        <v>0.00103</v>
      </c>
      <c r="Y88">
        <v>1700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0.00103</v>
      </c>
      <c r="AH88">
        <v>2</v>
      </c>
      <c r="AI88">
        <v>27243276</v>
      </c>
      <c r="AJ88">
        <v>70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ROW(Source!A31)</f>
        <v>31</v>
      </c>
      <c r="B89">
        <v>27243297</v>
      </c>
      <c r="C89">
        <v>27243260</v>
      </c>
      <c r="D89">
        <v>24315188</v>
      </c>
      <c r="E89">
        <v>1</v>
      </c>
      <c r="F89">
        <v>1</v>
      </c>
      <c r="G89">
        <v>1</v>
      </c>
      <c r="H89">
        <v>3</v>
      </c>
      <c r="I89" t="s">
        <v>326</v>
      </c>
      <c r="J89" t="s">
        <v>327</v>
      </c>
      <c r="K89" t="s">
        <v>328</v>
      </c>
      <c r="L89">
        <v>1348</v>
      </c>
      <c r="N89">
        <v>1009</v>
      </c>
      <c r="O89" t="s">
        <v>100</v>
      </c>
      <c r="P89" t="s">
        <v>100</v>
      </c>
      <c r="Q89">
        <v>1000</v>
      </c>
      <c r="X89">
        <v>0.00031</v>
      </c>
      <c r="Y89">
        <v>15620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0.00031</v>
      </c>
      <c r="AH89">
        <v>2</v>
      </c>
      <c r="AI89">
        <v>27243277</v>
      </c>
      <c r="AJ89">
        <v>71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ROW(Source!A31)</f>
        <v>31</v>
      </c>
      <c r="B90">
        <v>27243298</v>
      </c>
      <c r="C90">
        <v>27243260</v>
      </c>
      <c r="D90">
        <v>24316116</v>
      </c>
      <c r="E90">
        <v>1</v>
      </c>
      <c r="F90">
        <v>1</v>
      </c>
      <c r="G90">
        <v>1</v>
      </c>
      <c r="H90">
        <v>3</v>
      </c>
      <c r="I90" t="s">
        <v>473</v>
      </c>
      <c r="J90" t="s">
        <v>474</v>
      </c>
      <c r="K90" t="s">
        <v>475</v>
      </c>
      <c r="L90">
        <v>1348</v>
      </c>
      <c r="N90">
        <v>1009</v>
      </c>
      <c r="O90" t="s">
        <v>100</v>
      </c>
      <c r="P90" t="s">
        <v>100</v>
      </c>
      <c r="Q90">
        <v>1000</v>
      </c>
      <c r="X90">
        <v>0.0002</v>
      </c>
      <c r="Y90">
        <v>7712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0.0002</v>
      </c>
      <c r="AH90">
        <v>3</v>
      </c>
      <c r="AI90">
        <v>-1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ROW(Source!A31)</f>
        <v>31</v>
      </c>
      <c r="B91">
        <v>27243299</v>
      </c>
      <c r="C91">
        <v>27243260</v>
      </c>
      <c r="D91">
        <v>24296640</v>
      </c>
      <c r="E91">
        <v>1</v>
      </c>
      <c r="F91">
        <v>1</v>
      </c>
      <c r="G91">
        <v>1</v>
      </c>
      <c r="H91">
        <v>3</v>
      </c>
      <c r="I91" t="s">
        <v>361</v>
      </c>
      <c r="J91" t="s">
        <v>362</v>
      </c>
      <c r="K91" t="s">
        <v>489</v>
      </c>
      <c r="L91">
        <v>1348</v>
      </c>
      <c r="N91">
        <v>1009</v>
      </c>
      <c r="O91" t="s">
        <v>100</v>
      </c>
      <c r="P91" t="s">
        <v>100</v>
      </c>
      <c r="Q91">
        <v>1000</v>
      </c>
      <c r="X91">
        <v>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G91">
        <v>1</v>
      </c>
      <c r="AH91">
        <v>2</v>
      </c>
      <c r="AI91">
        <v>27243278</v>
      </c>
      <c r="AJ91">
        <v>72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ROW(Source!A31)</f>
        <v>31</v>
      </c>
      <c r="B92">
        <v>27243300</v>
      </c>
      <c r="C92">
        <v>27243260</v>
      </c>
      <c r="D92">
        <v>24316120</v>
      </c>
      <c r="E92">
        <v>1</v>
      </c>
      <c r="F92">
        <v>1</v>
      </c>
      <c r="G92">
        <v>1</v>
      </c>
      <c r="H92">
        <v>3</v>
      </c>
      <c r="I92" t="s">
        <v>476</v>
      </c>
      <c r="J92" t="s">
        <v>477</v>
      </c>
      <c r="K92" t="s">
        <v>478</v>
      </c>
      <c r="L92">
        <v>1302</v>
      </c>
      <c r="N92">
        <v>1003</v>
      </c>
      <c r="O92" t="s">
        <v>479</v>
      </c>
      <c r="P92" t="s">
        <v>479</v>
      </c>
      <c r="Q92">
        <v>10</v>
      </c>
      <c r="X92">
        <v>0.0187</v>
      </c>
      <c r="Y92">
        <v>50.23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0.0187</v>
      </c>
      <c r="AH92">
        <v>3</v>
      </c>
      <c r="AI92">
        <v>-1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ROW(Source!A32)</f>
        <v>32</v>
      </c>
      <c r="B93">
        <v>27243309</v>
      </c>
      <c r="C93">
        <v>27243301</v>
      </c>
      <c r="D93">
        <v>20812201</v>
      </c>
      <c r="E93">
        <v>1</v>
      </c>
      <c r="F93">
        <v>1</v>
      </c>
      <c r="G93">
        <v>1</v>
      </c>
      <c r="H93">
        <v>1</v>
      </c>
      <c r="I93" t="s">
        <v>364</v>
      </c>
      <c r="K93" t="s">
        <v>365</v>
      </c>
      <c r="L93">
        <v>1369</v>
      </c>
      <c r="N93">
        <v>1013</v>
      </c>
      <c r="O93" t="s">
        <v>258</v>
      </c>
      <c r="P93" t="s">
        <v>258</v>
      </c>
      <c r="Q93">
        <v>1</v>
      </c>
      <c r="X93">
        <v>143</v>
      </c>
      <c r="Y93">
        <v>0</v>
      </c>
      <c r="Z93">
        <v>0</v>
      </c>
      <c r="AA93">
        <v>0</v>
      </c>
      <c r="AB93">
        <v>7.19</v>
      </c>
      <c r="AC93">
        <v>0</v>
      </c>
      <c r="AD93">
        <v>1</v>
      </c>
      <c r="AE93">
        <v>1</v>
      </c>
      <c r="AF93" t="s">
        <v>39</v>
      </c>
      <c r="AG93">
        <v>164.45</v>
      </c>
      <c r="AH93">
        <v>2</v>
      </c>
      <c r="AI93">
        <v>27243302</v>
      </c>
      <c r="AJ93">
        <v>73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ROW(Source!A32)</f>
        <v>32</v>
      </c>
      <c r="B94">
        <v>27243310</v>
      </c>
      <c r="C94">
        <v>27243301</v>
      </c>
      <c r="D94">
        <v>20804248</v>
      </c>
      <c r="E94">
        <v>1</v>
      </c>
      <c r="F94">
        <v>1</v>
      </c>
      <c r="G94">
        <v>1</v>
      </c>
      <c r="H94">
        <v>2</v>
      </c>
      <c r="I94" t="s">
        <v>366</v>
      </c>
      <c r="J94" t="s">
        <v>367</v>
      </c>
      <c r="K94" t="s">
        <v>368</v>
      </c>
      <c r="L94">
        <v>1368</v>
      </c>
      <c r="N94">
        <v>1011</v>
      </c>
      <c r="O94" t="s">
        <v>262</v>
      </c>
      <c r="P94" t="s">
        <v>262</v>
      </c>
      <c r="Q94">
        <v>1</v>
      </c>
      <c r="X94">
        <v>1.43</v>
      </c>
      <c r="Y94">
        <v>0</v>
      </c>
      <c r="Z94">
        <v>1.22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38</v>
      </c>
      <c r="AG94">
        <v>1.7874999999999999</v>
      </c>
      <c r="AH94">
        <v>2</v>
      </c>
      <c r="AI94">
        <v>27243303</v>
      </c>
      <c r="AJ94">
        <v>74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ROW(Source!A32)</f>
        <v>32</v>
      </c>
      <c r="B95">
        <v>27243311</v>
      </c>
      <c r="C95">
        <v>27243301</v>
      </c>
      <c r="D95">
        <v>20804495</v>
      </c>
      <c r="E95">
        <v>1</v>
      </c>
      <c r="F95">
        <v>1</v>
      </c>
      <c r="G95">
        <v>1</v>
      </c>
      <c r="H95">
        <v>2</v>
      </c>
      <c r="I95" t="s">
        <v>271</v>
      </c>
      <c r="J95" t="s">
        <v>490</v>
      </c>
      <c r="K95" t="s">
        <v>273</v>
      </c>
      <c r="L95">
        <v>1368</v>
      </c>
      <c r="N95">
        <v>1011</v>
      </c>
      <c r="O95" t="s">
        <v>262</v>
      </c>
      <c r="P95" t="s">
        <v>262</v>
      </c>
      <c r="Q95">
        <v>1</v>
      </c>
      <c r="X95">
        <v>0.9</v>
      </c>
      <c r="Y95">
        <v>0</v>
      </c>
      <c r="Z95">
        <v>88.84</v>
      </c>
      <c r="AA95">
        <v>8.52</v>
      </c>
      <c r="AB95">
        <v>0</v>
      </c>
      <c r="AC95">
        <v>0</v>
      </c>
      <c r="AD95">
        <v>1</v>
      </c>
      <c r="AE95">
        <v>0</v>
      </c>
      <c r="AF95" t="s">
        <v>38</v>
      </c>
      <c r="AG95">
        <v>1.125</v>
      </c>
      <c r="AH95">
        <v>2</v>
      </c>
      <c r="AI95">
        <v>27243304</v>
      </c>
      <c r="AJ95">
        <v>75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ROW(Source!A32)</f>
        <v>32</v>
      </c>
      <c r="B96">
        <v>27243312</v>
      </c>
      <c r="C96">
        <v>27243301</v>
      </c>
      <c r="D96">
        <v>20753521</v>
      </c>
      <c r="E96">
        <v>1</v>
      </c>
      <c r="F96">
        <v>1</v>
      </c>
      <c r="G96">
        <v>1</v>
      </c>
      <c r="H96">
        <v>3</v>
      </c>
      <c r="I96" t="s">
        <v>358</v>
      </c>
      <c r="J96" t="s">
        <v>370</v>
      </c>
      <c r="K96" t="s">
        <v>360</v>
      </c>
      <c r="L96">
        <v>1348</v>
      </c>
      <c r="N96">
        <v>1009</v>
      </c>
      <c r="O96" t="s">
        <v>100</v>
      </c>
      <c r="P96" t="s">
        <v>100</v>
      </c>
      <c r="Q96">
        <v>1000</v>
      </c>
      <c r="X96">
        <v>0.0036</v>
      </c>
      <c r="Y96">
        <v>12310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0.0036</v>
      </c>
      <c r="AH96">
        <v>2</v>
      </c>
      <c r="AI96">
        <v>27243305</v>
      </c>
      <c r="AJ96">
        <v>76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ROW(Source!A32)</f>
        <v>32</v>
      </c>
      <c r="B97">
        <v>27243313</v>
      </c>
      <c r="C97">
        <v>27243301</v>
      </c>
      <c r="D97">
        <v>20756264</v>
      </c>
      <c r="E97">
        <v>1</v>
      </c>
      <c r="F97">
        <v>1</v>
      </c>
      <c r="G97">
        <v>1</v>
      </c>
      <c r="H97">
        <v>3</v>
      </c>
      <c r="I97" t="s">
        <v>371</v>
      </c>
      <c r="J97" t="s">
        <v>372</v>
      </c>
      <c r="K97" t="s">
        <v>491</v>
      </c>
      <c r="L97">
        <v>1339</v>
      </c>
      <c r="N97">
        <v>1007</v>
      </c>
      <c r="O97" t="s">
        <v>302</v>
      </c>
      <c r="P97" t="s">
        <v>302</v>
      </c>
      <c r="Q97">
        <v>1</v>
      </c>
      <c r="X97">
        <v>0.58</v>
      </c>
      <c r="Y97">
        <v>988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0.58</v>
      </c>
      <c r="AH97">
        <v>2</v>
      </c>
      <c r="AI97">
        <v>27243306</v>
      </c>
      <c r="AJ97">
        <v>77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ROW(Source!A32)</f>
        <v>32</v>
      </c>
      <c r="B98">
        <v>27243314</v>
      </c>
      <c r="C98">
        <v>27243301</v>
      </c>
      <c r="D98">
        <v>20756276</v>
      </c>
      <c r="E98">
        <v>1</v>
      </c>
      <c r="F98">
        <v>1</v>
      </c>
      <c r="G98">
        <v>1</v>
      </c>
      <c r="H98">
        <v>3</v>
      </c>
      <c r="I98" t="s">
        <v>374</v>
      </c>
      <c r="J98" t="s">
        <v>375</v>
      </c>
      <c r="K98" t="s">
        <v>457</v>
      </c>
      <c r="L98">
        <v>1339</v>
      </c>
      <c r="N98">
        <v>1007</v>
      </c>
      <c r="O98" t="s">
        <v>302</v>
      </c>
      <c r="P98" t="s">
        <v>302</v>
      </c>
      <c r="Q98">
        <v>1</v>
      </c>
      <c r="X98">
        <v>0.92</v>
      </c>
      <c r="Y98">
        <v>893.2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0.92</v>
      </c>
      <c r="AH98">
        <v>2</v>
      </c>
      <c r="AI98">
        <v>27243307</v>
      </c>
      <c r="AJ98">
        <v>78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ROW(Source!A32)</f>
        <v>32</v>
      </c>
      <c r="B99">
        <v>27243315</v>
      </c>
      <c r="C99">
        <v>27243301</v>
      </c>
      <c r="D99">
        <v>20765701</v>
      </c>
      <c r="E99">
        <v>1</v>
      </c>
      <c r="F99">
        <v>1</v>
      </c>
      <c r="G99">
        <v>1</v>
      </c>
      <c r="H99">
        <v>3</v>
      </c>
      <c r="I99" t="s">
        <v>377</v>
      </c>
      <c r="J99" t="s">
        <v>378</v>
      </c>
      <c r="K99" t="s">
        <v>492</v>
      </c>
      <c r="L99">
        <v>1339</v>
      </c>
      <c r="N99">
        <v>1007</v>
      </c>
      <c r="O99" t="s">
        <v>302</v>
      </c>
      <c r="P99" t="s">
        <v>302</v>
      </c>
      <c r="Q99">
        <v>1</v>
      </c>
      <c r="X99">
        <v>1.06</v>
      </c>
      <c r="Y99">
        <v>1784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1.06</v>
      </c>
      <c r="AH99">
        <v>2</v>
      </c>
      <c r="AI99">
        <v>27243308</v>
      </c>
      <c r="AJ99">
        <v>79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ROW(Source!A33)</f>
        <v>33</v>
      </c>
      <c r="B100">
        <v>27243339</v>
      </c>
      <c r="C100">
        <v>27243316</v>
      </c>
      <c r="D100">
        <v>20812658</v>
      </c>
      <c r="E100">
        <v>1</v>
      </c>
      <c r="F100">
        <v>1</v>
      </c>
      <c r="G100">
        <v>1</v>
      </c>
      <c r="H100">
        <v>1</v>
      </c>
      <c r="I100" t="s">
        <v>381</v>
      </c>
      <c r="K100" t="s">
        <v>330</v>
      </c>
      <c r="L100">
        <v>1369</v>
      </c>
      <c r="N100">
        <v>1013</v>
      </c>
      <c r="O100" t="s">
        <v>258</v>
      </c>
      <c r="P100" t="s">
        <v>258</v>
      </c>
      <c r="Q100">
        <v>1</v>
      </c>
      <c r="X100">
        <v>61.6</v>
      </c>
      <c r="Y100">
        <v>0</v>
      </c>
      <c r="Z100">
        <v>0</v>
      </c>
      <c r="AA100">
        <v>0</v>
      </c>
      <c r="AB100">
        <v>7.56</v>
      </c>
      <c r="AC100">
        <v>0</v>
      </c>
      <c r="AD100">
        <v>1</v>
      </c>
      <c r="AE100">
        <v>1</v>
      </c>
      <c r="AF100" t="s">
        <v>39</v>
      </c>
      <c r="AG100">
        <v>70.83999999999999</v>
      </c>
      <c r="AH100">
        <v>2</v>
      </c>
      <c r="AI100">
        <v>27243317</v>
      </c>
      <c r="AJ100">
        <v>80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ROW(Source!A33)</f>
        <v>33</v>
      </c>
      <c r="B101">
        <v>27243340</v>
      </c>
      <c r="C101">
        <v>27243316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23</v>
      </c>
      <c r="K101" t="s">
        <v>276</v>
      </c>
      <c r="L101">
        <v>608254</v>
      </c>
      <c r="N101">
        <v>1013</v>
      </c>
      <c r="O101" t="s">
        <v>277</v>
      </c>
      <c r="P101" t="s">
        <v>277</v>
      </c>
      <c r="Q101">
        <v>1</v>
      </c>
      <c r="X101">
        <v>0.1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2</v>
      </c>
      <c r="AF101" t="s">
        <v>38</v>
      </c>
      <c r="AG101">
        <v>0.125</v>
      </c>
      <c r="AH101">
        <v>2</v>
      </c>
      <c r="AI101">
        <v>27243318</v>
      </c>
      <c r="AJ101">
        <v>81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ROW(Source!A33)</f>
        <v>33</v>
      </c>
      <c r="B102">
        <v>27243341</v>
      </c>
      <c r="C102">
        <v>27243316</v>
      </c>
      <c r="D102">
        <v>20802610</v>
      </c>
      <c r="E102">
        <v>1</v>
      </c>
      <c r="F102">
        <v>1</v>
      </c>
      <c r="G102">
        <v>1</v>
      </c>
      <c r="H102">
        <v>2</v>
      </c>
      <c r="I102" t="s">
        <v>336</v>
      </c>
      <c r="J102" t="s">
        <v>382</v>
      </c>
      <c r="K102" t="s">
        <v>338</v>
      </c>
      <c r="L102">
        <v>1368</v>
      </c>
      <c r="N102">
        <v>1011</v>
      </c>
      <c r="O102" t="s">
        <v>262</v>
      </c>
      <c r="P102" t="s">
        <v>262</v>
      </c>
      <c r="Q102">
        <v>1</v>
      </c>
      <c r="X102">
        <v>0.07</v>
      </c>
      <c r="Y102">
        <v>0</v>
      </c>
      <c r="Z102">
        <v>99.32</v>
      </c>
      <c r="AA102">
        <v>11.43</v>
      </c>
      <c r="AB102">
        <v>0</v>
      </c>
      <c r="AC102">
        <v>0</v>
      </c>
      <c r="AD102">
        <v>1</v>
      </c>
      <c r="AE102">
        <v>0</v>
      </c>
      <c r="AF102" t="s">
        <v>38</v>
      </c>
      <c r="AG102">
        <v>0.08750000000000001</v>
      </c>
      <c r="AH102">
        <v>2</v>
      </c>
      <c r="AI102">
        <v>27243319</v>
      </c>
      <c r="AJ102">
        <v>82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ROW(Source!A33)</f>
        <v>33</v>
      </c>
      <c r="B103">
        <v>27243342</v>
      </c>
      <c r="C103">
        <v>27243316</v>
      </c>
      <c r="D103">
        <v>20802695</v>
      </c>
      <c r="E103">
        <v>1</v>
      </c>
      <c r="F103">
        <v>1</v>
      </c>
      <c r="G103">
        <v>1</v>
      </c>
      <c r="H103">
        <v>2</v>
      </c>
      <c r="I103" t="s">
        <v>281</v>
      </c>
      <c r="J103" t="s">
        <v>493</v>
      </c>
      <c r="K103" t="s">
        <v>283</v>
      </c>
      <c r="L103">
        <v>1368</v>
      </c>
      <c r="N103">
        <v>1011</v>
      </c>
      <c r="O103" t="s">
        <v>262</v>
      </c>
      <c r="P103" t="s">
        <v>262</v>
      </c>
      <c r="Q103">
        <v>1</v>
      </c>
      <c r="X103">
        <v>0.03</v>
      </c>
      <c r="Y103">
        <v>0</v>
      </c>
      <c r="Z103">
        <v>112.26</v>
      </c>
      <c r="AA103">
        <v>11.43</v>
      </c>
      <c r="AB103">
        <v>0</v>
      </c>
      <c r="AC103">
        <v>0</v>
      </c>
      <c r="AD103">
        <v>1</v>
      </c>
      <c r="AE103">
        <v>0</v>
      </c>
      <c r="AF103" t="s">
        <v>38</v>
      </c>
      <c r="AG103">
        <v>0.0375</v>
      </c>
      <c r="AH103">
        <v>2</v>
      </c>
      <c r="AI103">
        <v>27243320</v>
      </c>
      <c r="AJ103">
        <v>83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ROW(Source!A33)</f>
        <v>33</v>
      </c>
      <c r="B104">
        <v>27243343</v>
      </c>
      <c r="C104">
        <v>27243316</v>
      </c>
      <c r="D104">
        <v>20803613</v>
      </c>
      <c r="E104">
        <v>1</v>
      </c>
      <c r="F104">
        <v>1</v>
      </c>
      <c r="G104">
        <v>1</v>
      </c>
      <c r="H104">
        <v>2</v>
      </c>
      <c r="I104" t="s">
        <v>384</v>
      </c>
      <c r="J104" t="s">
        <v>494</v>
      </c>
      <c r="K104" t="s">
        <v>385</v>
      </c>
      <c r="L104">
        <v>1368</v>
      </c>
      <c r="N104">
        <v>1011</v>
      </c>
      <c r="O104" t="s">
        <v>262</v>
      </c>
      <c r="P104" t="s">
        <v>262</v>
      </c>
      <c r="Q104">
        <v>1</v>
      </c>
      <c r="X104">
        <v>1.6</v>
      </c>
      <c r="Y104">
        <v>0</v>
      </c>
      <c r="Z104">
        <v>3.71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38</v>
      </c>
      <c r="AG104">
        <v>2</v>
      </c>
      <c r="AH104">
        <v>2</v>
      </c>
      <c r="AI104">
        <v>27243321</v>
      </c>
      <c r="AJ104">
        <v>84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ROW(Source!A33)</f>
        <v>33</v>
      </c>
      <c r="B105">
        <v>27243344</v>
      </c>
      <c r="C105">
        <v>27243316</v>
      </c>
      <c r="D105">
        <v>20804182</v>
      </c>
      <c r="E105">
        <v>1</v>
      </c>
      <c r="F105">
        <v>1</v>
      </c>
      <c r="G105">
        <v>1</v>
      </c>
      <c r="H105">
        <v>2</v>
      </c>
      <c r="I105" t="s">
        <v>265</v>
      </c>
      <c r="J105" t="s">
        <v>386</v>
      </c>
      <c r="K105" t="s">
        <v>267</v>
      </c>
      <c r="L105">
        <v>1368</v>
      </c>
      <c r="N105">
        <v>1011</v>
      </c>
      <c r="O105" t="s">
        <v>262</v>
      </c>
      <c r="P105" t="s">
        <v>262</v>
      </c>
      <c r="Q105">
        <v>1</v>
      </c>
      <c r="X105">
        <v>8.1</v>
      </c>
      <c r="Y105">
        <v>0</v>
      </c>
      <c r="Z105">
        <v>1.95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38</v>
      </c>
      <c r="AG105">
        <v>10.125</v>
      </c>
      <c r="AH105">
        <v>2</v>
      </c>
      <c r="AI105">
        <v>27243322</v>
      </c>
      <c r="AJ105">
        <v>85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ROW(Source!A33)</f>
        <v>33</v>
      </c>
      <c r="B106">
        <v>27243345</v>
      </c>
      <c r="C106">
        <v>27243316</v>
      </c>
      <c r="D106">
        <v>20804209</v>
      </c>
      <c r="E106">
        <v>1</v>
      </c>
      <c r="F106">
        <v>1</v>
      </c>
      <c r="G106">
        <v>1</v>
      </c>
      <c r="H106">
        <v>2</v>
      </c>
      <c r="I106" t="s">
        <v>387</v>
      </c>
      <c r="J106" t="s">
        <v>388</v>
      </c>
      <c r="K106" t="s">
        <v>389</v>
      </c>
      <c r="L106">
        <v>1368</v>
      </c>
      <c r="N106">
        <v>1011</v>
      </c>
      <c r="O106" t="s">
        <v>262</v>
      </c>
      <c r="P106" t="s">
        <v>262</v>
      </c>
      <c r="Q106">
        <v>1</v>
      </c>
      <c r="X106">
        <v>1.03</v>
      </c>
      <c r="Y106">
        <v>0</v>
      </c>
      <c r="Z106">
        <v>2.8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38</v>
      </c>
      <c r="AG106">
        <v>1.2875</v>
      </c>
      <c r="AH106">
        <v>2</v>
      </c>
      <c r="AI106">
        <v>27243323</v>
      </c>
      <c r="AJ106">
        <v>86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ROW(Source!A33)</f>
        <v>33</v>
      </c>
      <c r="B107">
        <v>27243346</v>
      </c>
      <c r="C107">
        <v>27243316</v>
      </c>
      <c r="D107">
        <v>20804243</v>
      </c>
      <c r="E107">
        <v>1</v>
      </c>
      <c r="F107">
        <v>1</v>
      </c>
      <c r="G107">
        <v>1</v>
      </c>
      <c r="H107">
        <v>2</v>
      </c>
      <c r="I107" t="s">
        <v>390</v>
      </c>
      <c r="J107" t="s">
        <v>391</v>
      </c>
      <c r="K107" t="s">
        <v>392</v>
      </c>
      <c r="L107">
        <v>1368</v>
      </c>
      <c r="N107">
        <v>1011</v>
      </c>
      <c r="O107" t="s">
        <v>262</v>
      </c>
      <c r="P107" t="s">
        <v>262</v>
      </c>
      <c r="Q107">
        <v>1</v>
      </c>
      <c r="X107">
        <v>19.4</v>
      </c>
      <c r="Y107">
        <v>0</v>
      </c>
      <c r="Z107">
        <v>2.43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38</v>
      </c>
      <c r="AG107">
        <v>24.25</v>
      </c>
      <c r="AH107">
        <v>2</v>
      </c>
      <c r="AI107">
        <v>27243324</v>
      </c>
      <c r="AJ107">
        <v>87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ROW(Source!A33)</f>
        <v>33</v>
      </c>
      <c r="B108">
        <v>27243347</v>
      </c>
      <c r="C108">
        <v>27243316</v>
      </c>
      <c r="D108">
        <v>20804343</v>
      </c>
      <c r="E108">
        <v>1</v>
      </c>
      <c r="F108">
        <v>1</v>
      </c>
      <c r="G108">
        <v>1</v>
      </c>
      <c r="H108">
        <v>2</v>
      </c>
      <c r="I108" t="s">
        <v>393</v>
      </c>
      <c r="J108" t="s">
        <v>495</v>
      </c>
      <c r="K108" t="s">
        <v>496</v>
      </c>
      <c r="L108">
        <v>1368</v>
      </c>
      <c r="N108">
        <v>1011</v>
      </c>
      <c r="O108" t="s">
        <v>262</v>
      </c>
      <c r="P108" t="s">
        <v>262</v>
      </c>
      <c r="Q108">
        <v>1</v>
      </c>
      <c r="X108">
        <v>1.17</v>
      </c>
      <c r="Y108">
        <v>0</v>
      </c>
      <c r="Z108">
        <v>14.83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38</v>
      </c>
      <c r="AG108">
        <v>1.4625</v>
      </c>
      <c r="AH108">
        <v>2</v>
      </c>
      <c r="AI108">
        <v>27243325</v>
      </c>
      <c r="AJ108">
        <v>88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ROW(Source!A33)</f>
        <v>33</v>
      </c>
      <c r="B109">
        <v>27243348</v>
      </c>
      <c r="C109">
        <v>27243316</v>
      </c>
      <c r="D109">
        <v>20804495</v>
      </c>
      <c r="E109">
        <v>1</v>
      </c>
      <c r="F109">
        <v>1</v>
      </c>
      <c r="G109">
        <v>1</v>
      </c>
      <c r="H109">
        <v>2</v>
      </c>
      <c r="I109" t="s">
        <v>271</v>
      </c>
      <c r="J109" t="s">
        <v>490</v>
      </c>
      <c r="K109" t="s">
        <v>273</v>
      </c>
      <c r="L109">
        <v>1368</v>
      </c>
      <c r="N109">
        <v>1011</v>
      </c>
      <c r="O109" t="s">
        <v>262</v>
      </c>
      <c r="P109" t="s">
        <v>262</v>
      </c>
      <c r="Q109">
        <v>1</v>
      </c>
      <c r="X109">
        <v>0.04</v>
      </c>
      <c r="Y109">
        <v>0</v>
      </c>
      <c r="Z109">
        <v>88.84</v>
      </c>
      <c r="AA109">
        <v>8.52</v>
      </c>
      <c r="AB109">
        <v>0</v>
      </c>
      <c r="AC109">
        <v>0</v>
      </c>
      <c r="AD109">
        <v>1</v>
      </c>
      <c r="AE109">
        <v>0</v>
      </c>
      <c r="AF109" t="s">
        <v>38</v>
      </c>
      <c r="AG109">
        <v>0.05</v>
      </c>
      <c r="AH109">
        <v>2</v>
      </c>
      <c r="AI109">
        <v>27243326</v>
      </c>
      <c r="AJ109">
        <v>89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ROW(Source!A33)</f>
        <v>33</v>
      </c>
      <c r="B110">
        <v>27243349</v>
      </c>
      <c r="C110">
        <v>27243316</v>
      </c>
      <c r="D110">
        <v>20753470</v>
      </c>
      <c r="E110">
        <v>1</v>
      </c>
      <c r="F110">
        <v>1</v>
      </c>
      <c r="G110">
        <v>1</v>
      </c>
      <c r="H110">
        <v>3</v>
      </c>
      <c r="I110" t="s">
        <v>497</v>
      </c>
      <c r="J110" t="s">
        <v>498</v>
      </c>
      <c r="K110" t="s">
        <v>499</v>
      </c>
      <c r="L110">
        <v>1348</v>
      </c>
      <c r="N110">
        <v>1009</v>
      </c>
      <c r="O110" t="s">
        <v>100</v>
      </c>
      <c r="P110" t="s">
        <v>100</v>
      </c>
      <c r="Q110">
        <v>1000</v>
      </c>
      <c r="X110">
        <v>0.0045</v>
      </c>
      <c r="Y110">
        <v>7500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0.0045</v>
      </c>
      <c r="AH110">
        <v>3</v>
      </c>
      <c r="AI110">
        <v>-1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ROW(Source!A33)</f>
        <v>33</v>
      </c>
      <c r="B111">
        <v>27243350</v>
      </c>
      <c r="C111">
        <v>27243316</v>
      </c>
      <c r="D111">
        <v>20753482</v>
      </c>
      <c r="E111">
        <v>1</v>
      </c>
      <c r="F111">
        <v>1</v>
      </c>
      <c r="G111">
        <v>1</v>
      </c>
      <c r="H111">
        <v>3</v>
      </c>
      <c r="I111" t="s">
        <v>500</v>
      </c>
      <c r="J111" t="s">
        <v>501</v>
      </c>
      <c r="K111" t="s">
        <v>408</v>
      </c>
      <c r="L111">
        <v>1346</v>
      </c>
      <c r="N111">
        <v>1009</v>
      </c>
      <c r="O111" t="s">
        <v>315</v>
      </c>
      <c r="P111" t="s">
        <v>315</v>
      </c>
      <c r="Q111">
        <v>1</v>
      </c>
      <c r="X111">
        <v>3.5</v>
      </c>
      <c r="Y111">
        <v>6.19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3.5</v>
      </c>
      <c r="AH111">
        <v>3</v>
      </c>
      <c r="AI111">
        <v>-1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ROW(Source!A33)</f>
        <v>33</v>
      </c>
      <c r="B112">
        <v>27243351</v>
      </c>
      <c r="C112">
        <v>27243316</v>
      </c>
      <c r="D112">
        <v>20753526</v>
      </c>
      <c r="E112">
        <v>1</v>
      </c>
      <c r="F112">
        <v>1</v>
      </c>
      <c r="G112">
        <v>1</v>
      </c>
      <c r="H112">
        <v>3</v>
      </c>
      <c r="I112" t="s">
        <v>502</v>
      </c>
      <c r="J112" t="s">
        <v>503</v>
      </c>
      <c r="K112" t="s">
        <v>504</v>
      </c>
      <c r="L112">
        <v>1348</v>
      </c>
      <c r="N112">
        <v>1009</v>
      </c>
      <c r="O112" t="s">
        <v>100</v>
      </c>
      <c r="P112" t="s">
        <v>100</v>
      </c>
      <c r="Q112">
        <v>1000</v>
      </c>
      <c r="X112">
        <v>0.006</v>
      </c>
      <c r="Y112">
        <v>35011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0.006</v>
      </c>
      <c r="AH112">
        <v>3</v>
      </c>
      <c r="AI112">
        <v>-1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ROW(Source!A33)</f>
        <v>33</v>
      </c>
      <c r="B113">
        <v>27243352</v>
      </c>
      <c r="C113">
        <v>27243316</v>
      </c>
      <c r="D113">
        <v>20753584</v>
      </c>
      <c r="E113">
        <v>1</v>
      </c>
      <c r="F113">
        <v>1</v>
      </c>
      <c r="G113">
        <v>1</v>
      </c>
      <c r="H113">
        <v>3</v>
      </c>
      <c r="I113" t="s">
        <v>417</v>
      </c>
      <c r="J113" t="s">
        <v>418</v>
      </c>
      <c r="K113" t="s">
        <v>505</v>
      </c>
      <c r="L113">
        <v>1348</v>
      </c>
      <c r="N113">
        <v>1009</v>
      </c>
      <c r="O113" t="s">
        <v>100</v>
      </c>
      <c r="P113" t="s">
        <v>100</v>
      </c>
      <c r="Q113">
        <v>1000</v>
      </c>
      <c r="X113">
        <v>0.054</v>
      </c>
      <c r="Y113">
        <v>15347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0.054</v>
      </c>
      <c r="AH113">
        <v>3</v>
      </c>
      <c r="AI113">
        <v>-1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ROW(Source!A33)</f>
        <v>33</v>
      </c>
      <c r="B114">
        <v>27243353</v>
      </c>
      <c r="C114">
        <v>27243316</v>
      </c>
      <c r="D114">
        <v>20753982</v>
      </c>
      <c r="E114">
        <v>1</v>
      </c>
      <c r="F114">
        <v>1</v>
      </c>
      <c r="G114">
        <v>1</v>
      </c>
      <c r="H114">
        <v>3</v>
      </c>
      <c r="I114" t="s">
        <v>312</v>
      </c>
      <c r="J114" t="s">
        <v>506</v>
      </c>
      <c r="K114" t="s">
        <v>314</v>
      </c>
      <c r="L114">
        <v>1346</v>
      </c>
      <c r="N114">
        <v>1009</v>
      </c>
      <c r="O114" t="s">
        <v>315</v>
      </c>
      <c r="P114" t="s">
        <v>315</v>
      </c>
      <c r="Q114">
        <v>1</v>
      </c>
      <c r="X114">
        <v>3.1</v>
      </c>
      <c r="Y114">
        <v>8.96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3.1</v>
      </c>
      <c r="AH114">
        <v>3</v>
      </c>
      <c r="AI114">
        <v>-1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ROW(Source!A33)</f>
        <v>33</v>
      </c>
      <c r="B115">
        <v>27243354</v>
      </c>
      <c r="C115">
        <v>27243316</v>
      </c>
      <c r="D115">
        <v>20797497</v>
      </c>
      <c r="E115">
        <v>1</v>
      </c>
      <c r="F115">
        <v>1</v>
      </c>
      <c r="G115">
        <v>1</v>
      </c>
      <c r="H115">
        <v>3</v>
      </c>
      <c r="I115" t="s">
        <v>507</v>
      </c>
      <c r="J115" t="s">
        <v>508</v>
      </c>
      <c r="K115" t="s">
        <v>509</v>
      </c>
      <c r="L115">
        <v>1346</v>
      </c>
      <c r="N115">
        <v>1009</v>
      </c>
      <c r="O115" t="s">
        <v>315</v>
      </c>
      <c r="P115" t="s">
        <v>315</v>
      </c>
      <c r="Q115">
        <v>1</v>
      </c>
      <c r="X115">
        <v>9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9</v>
      </c>
      <c r="AH115">
        <v>3</v>
      </c>
      <c r="AI115">
        <v>-1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ROW(Source!A33)</f>
        <v>33</v>
      </c>
      <c r="B116">
        <v>27243355</v>
      </c>
      <c r="C116">
        <v>27243316</v>
      </c>
      <c r="D116">
        <v>20797522</v>
      </c>
      <c r="E116">
        <v>1</v>
      </c>
      <c r="F116">
        <v>1</v>
      </c>
      <c r="G116">
        <v>1</v>
      </c>
      <c r="H116">
        <v>3</v>
      </c>
      <c r="I116" t="s">
        <v>510</v>
      </c>
      <c r="J116" t="s">
        <v>511</v>
      </c>
      <c r="K116" t="s">
        <v>512</v>
      </c>
      <c r="L116">
        <v>1327</v>
      </c>
      <c r="N116">
        <v>1005</v>
      </c>
      <c r="O116" t="s">
        <v>322</v>
      </c>
      <c r="P116" t="s">
        <v>322</v>
      </c>
      <c r="Q116">
        <v>1</v>
      </c>
      <c r="X116">
        <v>128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128</v>
      </c>
      <c r="AH116">
        <v>3</v>
      </c>
      <c r="AI116">
        <v>-1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ROW(Source!A34)</f>
        <v>34</v>
      </c>
      <c r="B117">
        <v>27243363</v>
      </c>
      <c r="C117">
        <v>27243356</v>
      </c>
      <c r="D117">
        <v>20812189</v>
      </c>
      <c r="E117">
        <v>1</v>
      </c>
      <c r="F117">
        <v>1</v>
      </c>
      <c r="G117">
        <v>1</v>
      </c>
      <c r="H117">
        <v>1</v>
      </c>
      <c r="I117" t="s">
        <v>409</v>
      </c>
      <c r="K117" t="s">
        <v>410</v>
      </c>
      <c r="L117">
        <v>1369</v>
      </c>
      <c r="N117">
        <v>1013</v>
      </c>
      <c r="O117" t="s">
        <v>258</v>
      </c>
      <c r="P117" t="s">
        <v>258</v>
      </c>
      <c r="Q117">
        <v>1</v>
      </c>
      <c r="X117">
        <v>101.24</v>
      </c>
      <c r="Y117">
        <v>0</v>
      </c>
      <c r="Z117">
        <v>0</v>
      </c>
      <c r="AA117">
        <v>0</v>
      </c>
      <c r="AB117">
        <v>6.88</v>
      </c>
      <c r="AC117">
        <v>0</v>
      </c>
      <c r="AD117">
        <v>1</v>
      </c>
      <c r="AE117">
        <v>1</v>
      </c>
      <c r="AG117">
        <v>101.24</v>
      </c>
      <c r="AH117">
        <v>2</v>
      </c>
      <c r="AI117">
        <v>27243357</v>
      </c>
      <c r="AJ117">
        <v>102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ROW(Source!A34)</f>
        <v>34</v>
      </c>
      <c r="B118">
        <v>27243364</v>
      </c>
      <c r="C118">
        <v>27243356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23</v>
      </c>
      <c r="K118" t="s">
        <v>276</v>
      </c>
      <c r="L118">
        <v>608254</v>
      </c>
      <c r="N118">
        <v>1013</v>
      </c>
      <c r="O118" t="s">
        <v>277</v>
      </c>
      <c r="P118" t="s">
        <v>277</v>
      </c>
      <c r="Q118">
        <v>1</v>
      </c>
      <c r="X118">
        <v>0.25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G118">
        <v>0.25</v>
      </c>
      <c r="AH118">
        <v>2</v>
      </c>
      <c r="AI118">
        <v>27243358</v>
      </c>
      <c r="AJ118">
        <v>103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ROW(Source!A34)</f>
        <v>34</v>
      </c>
      <c r="B119">
        <v>27243365</v>
      </c>
      <c r="C119">
        <v>27243356</v>
      </c>
      <c r="D119">
        <v>20802825</v>
      </c>
      <c r="E119">
        <v>1</v>
      </c>
      <c r="F119">
        <v>1</v>
      </c>
      <c r="G119">
        <v>1</v>
      </c>
      <c r="H119">
        <v>2</v>
      </c>
      <c r="I119" t="s">
        <v>411</v>
      </c>
      <c r="J119" t="s">
        <v>412</v>
      </c>
      <c r="K119" t="s">
        <v>413</v>
      </c>
      <c r="L119">
        <v>1368</v>
      </c>
      <c r="N119">
        <v>1011</v>
      </c>
      <c r="O119" t="s">
        <v>262</v>
      </c>
      <c r="P119" t="s">
        <v>262</v>
      </c>
      <c r="Q119">
        <v>1</v>
      </c>
      <c r="X119">
        <v>0.25</v>
      </c>
      <c r="Y119">
        <v>0</v>
      </c>
      <c r="Z119">
        <v>31.26</v>
      </c>
      <c r="AA119">
        <v>9.82</v>
      </c>
      <c r="AB119">
        <v>0</v>
      </c>
      <c r="AC119">
        <v>0</v>
      </c>
      <c r="AD119">
        <v>1</v>
      </c>
      <c r="AE119">
        <v>0</v>
      </c>
      <c r="AG119">
        <v>0.25</v>
      </c>
      <c r="AH119">
        <v>2</v>
      </c>
      <c r="AI119">
        <v>27243359</v>
      </c>
      <c r="AJ119">
        <v>104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ROW(Source!A34)</f>
        <v>34</v>
      </c>
      <c r="B120">
        <v>27243366</v>
      </c>
      <c r="C120">
        <v>27243356</v>
      </c>
      <c r="D120">
        <v>20804495</v>
      </c>
      <c r="E120">
        <v>1</v>
      </c>
      <c r="F120">
        <v>1</v>
      </c>
      <c r="G120">
        <v>1</v>
      </c>
      <c r="H120">
        <v>2</v>
      </c>
      <c r="I120" t="s">
        <v>271</v>
      </c>
      <c r="J120" t="s">
        <v>490</v>
      </c>
      <c r="K120" t="s">
        <v>273</v>
      </c>
      <c r="L120">
        <v>1368</v>
      </c>
      <c r="N120">
        <v>1011</v>
      </c>
      <c r="O120" t="s">
        <v>262</v>
      </c>
      <c r="P120" t="s">
        <v>262</v>
      </c>
      <c r="Q120">
        <v>1</v>
      </c>
      <c r="X120">
        <v>0.1</v>
      </c>
      <c r="Y120">
        <v>0</v>
      </c>
      <c r="Z120">
        <v>88.84</v>
      </c>
      <c r="AA120">
        <v>8.52</v>
      </c>
      <c r="AB120">
        <v>0</v>
      </c>
      <c r="AC120">
        <v>0</v>
      </c>
      <c r="AD120">
        <v>1</v>
      </c>
      <c r="AE120">
        <v>0</v>
      </c>
      <c r="AG120">
        <v>0.1</v>
      </c>
      <c r="AH120">
        <v>3</v>
      </c>
      <c r="AI120">
        <v>-1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ROW(Source!A34)</f>
        <v>34</v>
      </c>
      <c r="B121">
        <v>27243367</v>
      </c>
      <c r="C121">
        <v>27243356</v>
      </c>
      <c r="D121">
        <v>20752623</v>
      </c>
      <c r="E121">
        <v>1</v>
      </c>
      <c r="F121">
        <v>1</v>
      </c>
      <c r="G121">
        <v>1</v>
      </c>
      <c r="H121">
        <v>3</v>
      </c>
      <c r="I121" t="s">
        <v>414</v>
      </c>
      <c r="J121" t="s">
        <v>415</v>
      </c>
      <c r="K121" t="s">
        <v>513</v>
      </c>
      <c r="L121">
        <v>1348</v>
      </c>
      <c r="N121">
        <v>1009</v>
      </c>
      <c r="O121" t="s">
        <v>100</v>
      </c>
      <c r="P121" t="s">
        <v>100</v>
      </c>
      <c r="Q121">
        <v>1000</v>
      </c>
      <c r="X121">
        <v>0.116</v>
      </c>
      <c r="Y121">
        <v>6473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0.116</v>
      </c>
      <c r="AH121">
        <v>2</v>
      </c>
      <c r="AI121">
        <v>27243360</v>
      </c>
      <c r="AJ121">
        <v>105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ROW(Source!A34)</f>
        <v>34</v>
      </c>
      <c r="B122">
        <v>27243368</v>
      </c>
      <c r="C122">
        <v>27243356</v>
      </c>
      <c r="D122">
        <v>20752635</v>
      </c>
      <c r="E122">
        <v>1</v>
      </c>
      <c r="F122">
        <v>1</v>
      </c>
      <c r="G122">
        <v>1</v>
      </c>
      <c r="H122">
        <v>3</v>
      </c>
      <c r="I122" t="s">
        <v>514</v>
      </c>
      <c r="J122" t="s">
        <v>515</v>
      </c>
      <c r="K122" t="s">
        <v>516</v>
      </c>
      <c r="L122">
        <v>1348</v>
      </c>
      <c r="N122">
        <v>1009</v>
      </c>
      <c r="O122" t="s">
        <v>100</v>
      </c>
      <c r="P122" t="s">
        <v>100</v>
      </c>
      <c r="Q122">
        <v>1000</v>
      </c>
      <c r="X122">
        <v>0.006</v>
      </c>
      <c r="Y122">
        <v>11777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0.006</v>
      </c>
      <c r="AH122">
        <v>3</v>
      </c>
      <c r="AI122">
        <v>-1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ROW(Source!A34)</f>
        <v>34</v>
      </c>
      <c r="B123">
        <v>27243369</v>
      </c>
      <c r="C123">
        <v>27243356</v>
      </c>
      <c r="D123">
        <v>20753521</v>
      </c>
      <c r="E123">
        <v>1</v>
      </c>
      <c r="F123">
        <v>1</v>
      </c>
      <c r="G123">
        <v>1</v>
      </c>
      <c r="H123">
        <v>3</v>
      </c>
      <c r="I123" t="s">
        <v>358</v>
      </c>
      <c r="J123" t="s">
        <v>370</v>
      </c>
      <c r="K123" t="s">
        <v>360</v>
      </c>
      <c r="L123">
        <v>1348</v>
      </c>
      <c r="N123">
        <v>1009</v>
      </c>
      <c r="O123" t="s">
        <v>100</v>
      </c>
      <c r="P123" t="s">
        <v>100</v>
      </c>
      <c r="Q123">
        <v>1000</v>
      </c>
      <c r="X123">
        <v>0.001</v>
      </c>
      <c r="Y123">
        <v>12310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0.001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ROW(Source!A34)</f>
        <v>34</v>
      </c>
      <c r="B124">
        <v>27243370</v>
      </c>
      <c r="C124">
        <v>27243356</v>
      </c>
      <c r="D124">
        <v>20753584</v>
      </c>
      <c r="E124">
        <v>1</v>
      </c>
      <c r="F124">
        <v>1</v>
      </c>
      <c r="G124">
        <v>1</v>
      </c>
      <c r="H124">
        <v>3</v>
      </c>
      <c r="I124" t="s">
        <v>417</v>
      </c>
      <c r="J124" t="s">
        <v>418</v>
      </c>
      <c r="K124" t="s">
        <v>505</v>
      </c>
      <c r="L124">
        <v>1348</v>
      </c>
      <c r="N124">
        <v>1009</v>
      </c>
      <c r="O124" t="s">
        <v>100</v>
      </c>
      <c r="P124" t="s">
        <v>100</v>
      </c>
      <c r="Q124">
        <v>1000</v>
      </c>
      <c r="X124">
        <v>0.294</v>
      </c>
      <c r="Y124">
        <v>15347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0.294</v>
      </c>
      <c r="AH124">
        <v>2</v>
      </c>
      <c r="AI124">
        <v>27243361</v>
      </c>
      <c r="AJ124">
        <v>106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ROW(Source!A34)</f>
        <v>34</v>
      </c>
      <c r="B125">
        <v>27243371</v>
      </c>
      <c r="C125">
        <v>27243356</v>
      </c>
      <c r="D125">
        <v>20802516</v>
      </c>
      <c r="E125">
        <v>1</v>
      </c>
      <c r="F125">
        <v>1</v>
      </c>
      <c r="G125">
        <v>1</v>
      </c>
      <c r="H125">
        <v>3</v>
      </c>
      <c r="I125" t="s">
        <v>420</v>
      </c>
      <c r="J125" t="s">
        <v>421</v>
      </c>
      <c r="K125" t="s">
        <v>422</v>
      </c>
      <c r="L125">
        <v>1348</v>
      </c>
      <c r="N125">
        <v>1009</v>
      </c>
      <c r="O125" t="s">
        <v>100</v>
      </c>
      <c r="P125" t="s">
        <v>100</v>
      </c>
      <c r="Q125">
        <v>1000</v>
      </c>
      <c r="X125">
        <v>0.594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0</v>
      </c>
      <c r="AE125">
        <v>0</v>
      </c>
      <c r="AG125">
        <v>0.594</v>
      </c>
      <c r="AH125">
        <v>2</v>
      </c>
      <c r="AI125">
        <v>27243362</v>
      </c>
      <c r="AJ125">
        <v>107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ROW(Source!A36)</f>
        <v>36</v>
      </c>
      <c r="B126">
        <v>27243377</v>
      </c>
      <c r="C126">
        <v>27243374</v>
      </c>
      <c r="D126">
        <v>121548</v>
      </c>
      <c r="E126">
        <v>1</v>
      </c>
      <c r="F126">
        <v>1</v>
      </c>
      <c r="G126">
        <v>1</v>
      </c>
      <c r="H126">
        <v>1</v>
      </c>
      <c r="I126" t="s">
        <v>23</v>
      </c>
      <c r="K126" t="s">
        <v>276</v>
      </c>
      <c r="L126">
        <v>608254</v>
      </c>
      <c r="N126">
        <v>1013</v>
      </c>
      <c r="O126" t="s">
        <v>277</v>
      </c>
      <c r="P126" t="s">
        <v>277</v>
      </c>
      <c r="Q126">
        <v>1</v>
      </c>
      <c r="X126">
        <v>0.024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G126">
        <v>0.024</v>
      </c>
      <c r="AH126">
        <v>2</v>
      </c>
      <c r="AI126">
        <v>27243375</v>
      </c>
      <c r="AJ126">
        <v>109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ROW(Source!A36)</f>
        <v>36</v>
      </c>
      <c r="B127">
        <v>27243378</v>
      </c>
      <c r="C127">
        <v>27243374</v>
      </c>
      <c r="D127">
        <v>1467629</v>
      </c>
      <c r="E127">
        <v>1</v>
      </c>
      <c r="F127">
        <v>1</v>
      </c>
      <c r="G127">
        <v>1</v>
      </c>
      <c r="H127">
        <v>2</v>
      </c>
      <c r="I127" t="s">
        <v>424</v>
      </c>
      <c r="J127" t="s">
        <v>425</v>
      </c>
      <c r="K127" t="s">
        <v>426</v>
      </c>
      <c r="L127">
        <v>1480</v>
      </c>
      <c r="N127">
        <v>1013</v>
      </c>
      <c r="O127" t="s">
        <v>427</v>
      </c>
      <c r="P127" t="s">
        <v>428</v>
      </c>
      <c r="Q127">
        <v>1</v>
      </c>
      <c r="X127">
        <v>0.024</v>
      </c>
      <c r="Y127">
        <v>0</v>
      </c>
      <c r="Z127">
        <v>125.7</v>
      </c>
      <c r="AA127">
        <v>13.5</v>
      </c>
      <c r="AB127">
        <v>0</v>
      </c>
      <c r="AC127">
        <v>0</v>
      </c>
      <c r="AD127">
        <v>1</v>
      </c>
      <c r="AE127">
        <v>0</v>
      </c>
      <c r="AG127">
        <v>0.024</v>
      </c>
      <c r="AH127">
        <v>2</v>
      </c>
      <c r="AI127">
        <v>27243376</v>
      </c>
      <c r="AJ127">
        <v>110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ROW(Source!A78)</f>
        <v>78</v>
      </c>
      <c r="B128">
        <v>27243382</v>
      </c>
      <c r="C128">
        <v>27243379</v>
      </c>
      <c r="D128">
        <v>9415152</v>
      </c>
      <c r="E128">
        <v>1</v>
      </c>
      <c r="F128">
        <v>1</v>
      </c>
      <c r="G128">
        <v>1</v>
      </c>
      <c r="H128">
        <v>1</v>
      </c>
      <c r="I128" t="s">
        <v>256</v>
      </c>
      <c r="K128" t="s">
        <v>257</v>
      </c>
      <c r="L128">
        <v>1369</v>
      </c>
      <c r="N128">
        <v>1013</v>
      </c>
      <c r="O128" t="s">
        <v>258</v>
      </c>
      <c r="P128" t="s">
        <v>258</v>
      </c>
      <c r="Q128">
        <v>1</v>
      </c>
      <c r="X128">
        <v>14.38</v>
      </c>
      <c r="Y128">
        <v>0</v>
      </c>
      <c r="Z128">
        <v>0</v>
      </c>
      <c r="AA128">
        <v>0</v>
      </c>
      <c r="AB128">
        <v>7.8</v>
      </c>
      <c r="AC128">
        <v>0</v>
      </c>
      <c r="AD128">
        <v>1</v>
      </c>
      <c r="AE128">
        <v>1</v>
      </c>
      <c r="AG128">
        <v>14.38</v>
      </c>
      <c r="AH128">
        <v>2</v>
      </c>
      <c r="AI128">
        <v>27243380</v>
      </c>
      <c r="AJ128">
        <v>111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ROW(Source!A78)</f>
        <v>78</v>
      </c>
      <c r="B129">
        <v>27243383</v>
      </c>
      <c r="C129">
        <v>27243379</v>
      </c>
      <c r="D129">
        <v>24322593</v>
      </c>
      <c r="E129">
        <v>1</v>
      </c>
      <c r="F129">
        <v>1</v>
      </c>
      <c r="G129">
        <v>1</v>
      </c>
      <c r="H129">
        <v>2</v>
      </c>
      <c r="I129" t="s">
        <v>259</v>
      </c>
      <c r="J129" t="s">
        <v>260</v>
      </c>
      <c r="K129" t="s">
        <v>261</v>
      </c>
      <c r="L129">
        <v>1368</v>
      </c>
      <c r="N129">
        <v>1011</v>
      </c>
      <c r="O129" t="s">
        <v>262</v>
      </c>
      <c r="P129" t="s">
        <v>262</v>
      </c>
      <c r="Q129">
        <v>1</v>
      </c>
      <c r="X129">
        <v>6.22</v>
      </c>
      <c r="Y129">
        <v>0</v>
      </c>
      <c r="Z129">
        <v>6.66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6.22</v>
      </c>
      <c r="AH129">
        <v>2</v>
      </c>
      <c r="AI129">
        <v>27243381</v>
      </c>
      <c r="AJ129">
        <v>112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ROW(Source!A79)</f>
        <v>79</v>
      </c>
      <c r="B130">
        <v>27243391</v>
      </c>
      <c r="C130">
        <v>27243384</v>
      </c>
      <c r="D130">
        <v>20812201</v>
      </c>
      <c r="E130">
        <v>1</v>
      </c>
      <c r="F130">
        <v>1</v>
      </c>
      <c r="G130">
        <v>1</v>
      </c>
      <c r="H130">
        <v>1</v>
      </c>
      <c r="I130" t="s">
        <v>364</v>
      </c>
      <c r="K130" t="s">
        <v>365</v>
      </c>
      <c r="L130">
        <v>1369</v>
      </c>
      <c r="N130">
        <v>1013</v>
      </c>
      <c r="O130" t="s">
        <v>258</v>
      </c>
      <c r="P130" t="s">
        <v>258</v>
      </c>
      <c r="Q130">
        <v>1</v>
      </c>
      <c r="X130">
        <v>143</v>
      </c>
      <c r="Y130">
        <v>0</v>
      </c>
      <c r="Z130">
        <v>0</v>
      </c>
      <c r="AA130">
        <v>0</v>
      </c>
      <c r="AB130">
        <v>7.19</v>
      </c>
      <c r="AC130">
        <v>0</v>
      </c>
      <c r="AD130">
        <v>1</v>
      </c>
      <c r="AE130">
        <v>1</v>
      </c>
      <c r="AF130" t="s">
        <v>39</v>
      </c>
      <c r="AG130">
        <v>164.45</v>
      </c>
      <c r="AH130">
        <v>2</v>
      </c>
      <c r="AI130">
        <v>27243385</v>
      </c>
      <c r="AJ130">
        <v>113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ROW(Source!A79)</f>
        <v>79</v>
      </c>
      <c r="B131">
        <v>27243392</v>
      </c>
      <c r="C131">
        <v>27243384</v>
      </c>
      <c r="D131">
        <v>20804248</v>
      </c>
      <c r="E131">
        <v>1</v>
      </c>
      <c r="F131">
        <v>1</v>
      </c>
      <c r="G131">
        <v>1</v>
      </c>
      <c r="H131">
        <v>2</v>
      </c>
      <c r="I131" t="s">
        <v>366</v>
      </c>
      <c r="J131" t="s">
        <v>367</v>
      </c>
      <c r="K131" t="s">
        <v>368</v>
      </c>
      <c r="L131">
        <v>1368</v>
      </c>
      <c r="N131">
        <v>1011</v>
      </c>
      <c r="O131" t="s">
        <v>262</v>
      </c>
      <c r="P131" t="s">
        <v>262</v>
      </c>
      <c r="Q131">
        <v>1</v>
      </c>
      <c r="X131">
        <v>1.43</v>
      </c>
      <c r="Y131">
        <v>0</v>
      </c>
      <c r="Z131">
        <v>1.22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38</v>
      </c>
      <c r="AG131">
        <v>1.7874999999999999</v>
      </c>
      <c r="AH131">
        <v>2</v>
      </c>
      <c r="AI131">
        <v>27243386</v>
      </c>
      <c r="AJ131">
        <v>114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ROW(Source!A79)</f>
        <v>79</v>
      </c>
      <c r="B132">
        <v>27243393</v>
      </c>
      <c r="C132">
        <v>27243384</v>
      </c>
      <c r="D132">
        <v>20804495</v>
      </c>
      <c r="E132">
        <v>1</v>
      </c>
      <c r="F132">
        <v>1</v>
      </c>
      <c r="G132">
        <v>1</v>
      </c>
      <c r="H132">
        <v>2</v>
      </c>
      <c r="I132" t="s">
        <v>271</v>
      </c>
      <c r="J132" t="s">
        <v>490</v>
      </c>
      <c r="K132" t="s">
        <v>273</v>
      </c>
      <c r="L132">
        <v>1368</v>
      </c>
      <c r="N132">
        <v>1011</v>
      </c>
      <c r="O132" t="s">
        <v>262</v>
      </c>
      <c r="P132" t="s">
        <v>262</v>
      </c>
      <c r="Q132">
        <v>1</v>
      </c>
      <c r="X132">
        <v>0.9</v>
      </c>
      <c r="Y132">
        <v>0</v>
      </c>
      <c r="Z132">
        <v>88.84</v>
      </c>
      <c r="AA132">
        <v>8.52</v>
      </c>
      <c r="AB132">
        <v>0</v>
      </c>
      <c r="AC132">
        <v>0</v>
      </c>
      <c r="AD132">
        <v>1</v>
      </c>
      <c r="AE132">
        <v>0</v>
      </c>
      <c r="AF132" t="s">
        <v>38</v>
      </c>
      <c r="AG132">
        <v>1.125</v>
      </c>
      <c r="AH132">
        <v>3</v>
      </c>
      <c r="AI132">
        <v>-1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ROW(Source!A79)</f>
        <v>79</v>
      </c>
      <c r="B133">
        <v>27243394</v>
      </c>
      <c r="C133">
        <v>27243384</v>
      </c>
      <c r="D133">
        <v>20753521</v>
      </c>
      <c r="E133">
        <v>1</v>
      </c>
      <c r="F133">
        <v>1</v>
      </c>
      <c r="G133">
        <v>1</v>
      </c>
      <c r="H133">
        <v>3</v>
      </c>
      <c r="I133" t="s">
        <v>358</v>
      </c>
      <c r="J133" t="s">
        <v>370</v>
      </c>
      <c r="K133" t="s">
        <v>360</v>
      </c>
      <c r="L133">
        <v>1348</v>
      </c>
      <c r="N133">
        <v>1009</v>
      </c>
      <c r="O133" t="s">
        <v>100</v>
      </c>
      <c r="P133" t="s">
        <v>100</v>
      </c>
      <c r="Q133">
        <v>1000</v>
      </c>
      <c r="X133">
        <v>0.0036</v>
      </c>
      <c r="Y133">
        <v>12310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0.0036</v>
      </c>
      <c r="AH133">
        <v>2</v>
      </c>
      <c r="AI133">
        <v>27243387</v>
      </c>
      <c r="AJ133">
        <v>115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ROW(Source!A79)</f>
        <v>79</v>
      </c>
      <c r="B134">
        <v>27243395</v>
      </c>
      <c r="C134">
        <v>27243384</v>
      </c>
      <c r="D134">
        <v>20756264</v>
      </c>
      <c r="E134">
        <v>1</v>
      </c>
      <c r="F134">
        <v>1</v>
      </c>
      <c r="G134">
        <v>1</v>
      </c>
      <c r="H134">
        <v>3</v>
      </c>
      <c r="I134" t="s">
        <v>371</v>
      </c>
      <c r="J134" t="s">
        <v>372</v>
      </c>
      <c r="K134" t="s">
        <v>491</v>
      </c>
      <c r="L134">
        <v>1339</v>
      </c>
      <c r="N134">
        <v>1007</v>
      </c>
      <c r="O134" t="s">
        <v>302</v>
      </c>
      <c r="P134" t="s">
        <v>302</v>
      </c>
      <c r="Q134">
        <v>1</v>
      </c>
      <c r="X134">
        <v>0.58</v>
      </c>
      <c r="Y134">
        <v>988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0.58</v>
      </c>
      <c r="AH134">
        <v>2</v>
      </c>
      <c r="AI134">
        <v>27243388</v>
      </c>
      <c r="AJ134">
        <v>116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ROW(Source!A79)</f>
        <v>79</v>
      </c>
      <c r="B135">
        <v>27243396</v>
      </c>
      <c r="C135">
        <v>27243384</v>
      </c>
      <c r="D135">
        <v>20756276</v>
      </c>
      <c r="E135">
        <v>1</v>
      </c>
      <c r="F135">
        <v>1</v>
      </c>
      <c r="G135">
        <v>1</v>
      </c>
      <c r="H135">
        <v>3</v>
      </c>
      <c r="I135" t="s">
        <v>374</v>
      </c>
      <c r="J135" t="s">
        <v>375</v>
      </c>
      <c r="K135" t="s">
        <v>457</v>
      </c>
      <c r="L135">
        <v>1339</v>
      </c>
      <c r="N135">
        <v>1007</v>
      </c>
      <c r="O135" t="s">
        <v>302</v>
      </c>
      <c r="P135" t="s">
        <v>302</v>
      </c>
      <c r="Q135">
        <v>1</v>
      </c>
      <c r="X135">
        <v>0.92</v>
      </c>
      <c r="Y135">
        <v>893.2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0.92</v>
      </c>
      <c r="AH135">
        <v>2</v>
      </c>
      <c r="AI135">
        <v>27243389</v>
      </c>
      <c r="AJ135">
        <v>117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ROW(Source!A79)</f>
        <v>79</v>
      </c>
      <c r="B136">
        <v>27243397</v>
      </c>
      <c r="C136">
        <v>27243384</v>
      </c>
      <c r="D136">
        <v>20765701</v>
      </c>
      <c r="E136">
        <v>1</v>
      </c>
      <c r="F136">
        <v>1</v>
      </c>
      <c r="G136">
        <v>1</v>
      </c>
      <c r="H136">
        <v>3</v>
      </c>
      <c r="I136" t="s">
        <v>377</v>
      </c>
      <c r="J136" t="s">
        <v>378</v>
      </c>
      <c r="K136" t="s">
        <v>492</v>
      </c>
      <c r="L136">
        <v>1339</v>
      </c>
      <c r="N136">
        <v>1007</v>
      </c>
      <c r="O136" t="s">
        <v>302</v>
      </c>
      <c r="P136" t="s">
        <v>302</v>
      </c>
      <c r="Q136">
        <v>1</v>
      </c>
      <c r="X136">
        <v>1.06</v>
      </c>
      <c r="Y136">
        <v>1784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1.06</v>
      </c>
      <c r="AH136">
        <v>2</v>
      </c>
      <c r="AI136">
        <v>27243390</v>
      </c>
      <c r="AJ136">
        <v>118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ROW(Source!A80)</f>
        <v>80</v>
      </c>
      <c r="B137">
        <v>27243400</v>
      </c>
      <c r="C137">
        <v>27243398</v>
      </c>
      <c r="D137">
        <v>20812114</v>
      </c>
      <c r="E137">
        <v>1</v>
      </c>
      <c r="F137">
        <v>1</v>
      </c>
      <c r="G137">
        <v>1</v>
      </c>
      <c r="H137">
        <v>1</v>
      </c>
      <c r="I137" t="s">
        <v>429</v>
      </c>
      <c r="K137" t="s">
        <v>430</v>
      </c>
      <c r="L137">
        <v>1369</v>
      </c>
      <c r="N137">
        <v>1013</v>
      </c>
      <c r="O137" t="s">
        <v>258</v>
      </c>
      <c r="P137" t="s">
        <v>258</v>
      </c>
      <c r="Q137">
        <v>1</v>
      </c>
      <c r="X137">
        <v>2.94</v>
      </c>
      <c r="Y137">
        <v>0</v>
      </c>
      <c r="Z137">
        <v>0</v>
      </c>
      <c r="AA137">
        <v>0</v>
      </c>
      <c r="AB137">
        <v>8.23</v>
      </c>
      <c r="AC137">
        <v>0</v>
      </c>
      <c r="AD137">
        <v>1</v>
      </c>
      <c r="AE137">
        <v>1</v>
      </c>
      <c r="AF137" t="s">
        <v>28</v>
      </c>
      <c r="AG137">
        <v>2.352</v>
      </c>
      <c r="AH137">
        <v>2</v>
      </c>
      <c r="AI137">
        <v>27243399</v>
      </c>
      <c r="AJ137">
        <v>119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ROW(Source!A80)</f>
        <v>80</v>
      </c>
      <c r="B138">
        <v>27243401</v>
      </c>
      <c r="C138">
        <v>27243398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23</v>
      </c>
      <c r="K138" t="s">
        <v>276</v>
      </c>
      <c r="L138">
        <v>608254</v>
      </c>
      <c r="N138">
        <v>1013</v>
      </c>
      <c r="O138" t="s">
        <v>277</v>
      </c>
      <c r="P138" t="s">
        <v>277</v>
      </c>
      <c r="Q138">
        <v>1</v>
      </c>
      <c r="X138">
        <v>0.01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28</v>
      </c>
      <c r="AG138">
        <v>0.008</v>
      </c>
      <c r="AH138">
        <v>3</v>
      </c>
      <c r="AI138">
        <v>-1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ROW(Source!A80)</f>
        <v>80</v>
      </c>
      <c r="B139">
        <v>27243402</v>
      </c>
      <c r="C139">
        <v>27243398</v>
      </c>
      <c r="D139">
        <v>20802610</v>
      </c>
      <c r="E139">
        <v>1</v>
      </c>
      <c r="F139">
        <v>1</v>
      </c>
      <c r="G139">
        <v>1</v>
      </c>
      <c r="H139">
        <v>2</v>
      </c>
      <c r="I139" t="s">
        <v>336</v>
      </c>
      <c r="J139" t="s">
        <v>382</v>
      </c>
      <c r="K139" t="s">
        <v>338</v>
      </c>
      <c r="L139">
        <v>1368</v>
      </c>
      <c r="N139">
        <v>1011</v>
      </c>
      <c r="O139" t="s">
        <v>262</v>
      </c>
      <c r="P139" t="s">
        <v>262</v>
      </c>
      <c r="Q139">
        <v>1</v>
      </c>
      <c r="X139">
        <v>0.01</v>
      </c>
      <c r="Y139">
        <v>0</v>
      </c>
      <c r="Z139">
        <v>99.32</v>
      </c>
      <c r="AA139">
        <v>11.43</v>
      </c>
      <c r="AB139">
        <v>0</v>
      </c>
      <c r="AC139">
        <v>0</v>
      </c>
      <c r="AD139">
        <v>1</v>
      </c>
      <c r="AE139">
        <v>0</v>
      </c>
      <c r="AF139" t="s">
        <v>28</v>
      </c>
      <c r="AG139">
        <v>0.008</v>
      </c>
      <c r="AH139">
        <v>3</v>
      </c>
      <c r="AI139">
        <v>-1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ROW(Source!A80)</f>
        <v>80</v>
      </c>
      <c r="B140">
        <v>27243403</v>
      </c>
      <c r="C140">
        <v>27243398</v>
      </c>
      <c r="D140">
        <v>20802898</v>
      </c>
      <c r="E140">
        <v>1</v>
      </c>
      <c r="F140">
        <v>1</v>
      </c>
      <c r="G140">
        <v>1</v>
      </c>
      <c r="H140">
        <v>2</v>
      </c>
      <c r="I140" t="s">
        <v>517</v>
      </c>
      <c r="J140" t="s">
        <v>518</v>
      </c>
      <c r="K140" t="s">
        <v>519</v>
      </c>
      <c r="L140">
        <v>1368</v>
      </c>
      <c r="N140">
        <v>1011</v>
      </c>
      <c r="O140" t="s">
        <v>262</v>
      </c>
      <c r="P140" t="s">
        <v>262</v>
      </c>
      <c r="Q140">
        <v>1</v>
      </c>
      <c r="X140">
        <v>1.6</v>
      </c>
      <c r="Y140">
        <v>0</v>
      </c>
      <c r="Z140">
        <v>10.22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28</v>
      </c>
      <c r="AG140">
        <v>1.2800000000000002</v>
      </c>
      <c r="AH140">
        <v>3</v>
      </c>
      <c r="AI140">
        <v>-1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ROW(Source!A80)</f>
        <v>80</v>
      </c>
      <c r="B141">
        <v>27243404</v>
      </c>
      <c r="C141">
        <v>27243398</v>
      </c>
      <c r="D141">
        <v>20804495</v>
      </c>
      <c r="E141">
        <v>1</v>
      </c>
      <c r="F141">
        <v>1</v>
      </c>
      <c r="G141">
        <v>1</v>
      </c>
      <c r="H141">
        <v>2</v>
      </c>
      <c r="I141" t="s">
        <v>271</v>
      </c>
      <c r="J141" t="s">
        <v>490</v>
      </c>
      <c r="K141" t="s">
        <v>273</v>
      </c>
      <c r="L141">
        <v>1368</v>
      </c>
      <c r="N141">
        <v>1011</v>
      </c>
      <c r="O141" t="s">
        <v>262</v>
      </c>
      <c r="P141" t="s">
        <v>262</v>
      </c>
      <c r="Q141">
        <v>1</v>
      </c>
      <c r="X141">
        <v>0.01</v>
      </c>
      <c r="Y141">
        <v>0</v>
      </c>
      <c r="Z141">
        <v>88.84</v>
      </c>
      <c r="AA141">
        <v>8.52</v>
      </c>
      <c r="AB141">
        <v>0</v>
      </c>
      <c r="AC141">
        <v>0</v>
      </c>
      <c r="AD141">
        <v>1</v>
      </c>
      <c r="AE141">
        <v>0</v>
      </c>
      <c r="AF141" t="s">
        <v>28</v>
      </c>
      <c r="AG141">
        <v>0.008</v>
      </c>
      <c r="AH141">
        <v>3</v>
      </c>
      <c r="AI141">
        <v>-1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ROW(Source!A80)</f>
        <v>80</v>
      </c>
      <c r="B142">
        <v>27243405</v>
      </c>
      <c r="C142">
        <v>27243398</v>
      </c>
      <c r="D142">
        <v>20752159</v>
      </c>
      <c r="E142">
        <v>1</v>
      </c>
      <c r="F142">
        <v>1</v>
      </c>
      <c r="G142">
        <v>1</v>
      </c>
      <c r="H142">
        <v>3</v>
      </c>
      <c r="I142" t="s">
        <v>520</v>
      </c>
      <c r="J142" t="s">
        <v>521</v>
      </c>
      <c r="K142" t="s">
        <v>522</v>
      </c>
      <c r="L142">
        <v>1348</v>
      </c>
      <c r="N142">
        <v>1009</v>
      </c>
      <c r="O142" t="s">
        <v>100</v>
      </c>
      <c r="P142" t="s">
        <v>100</v>
      </c>
      <c r="Q142">
        <v>1000</v>
      </c>
      <c r="X142">
        <v>6E-05</v>
      </c>
      <c r="Y142">
        <v>15338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6E-05</v>
      </c>
      <c r="AH142">
        <v>3</v>
      </c>
      <c r="AI142">
        <v>-1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ROW(Source!A80)</f>
        <v>80</v>
      </c>
      <c r="B143">
        <v>27243406</v>
      </c>
      <c r="C143">
        <v>27243398</v>
      </c>
      <c r="D143">
        <v>20753090</v>
      </c>
      <c r="E143">
        <v>1</v>
      </c>
      <c r="F143">
        <v>1</v>
      </c>
      <c r="G143">
        <v>1</v>
      </c>
      <c r="H143">
        <v>3</v>
      </c>
      <c r="I143" t="s">
        <v>523</v>
      </c>
      <c r="J143" t="s">
        <v>524</v>
      </c>
      <c r="K143" t="s">
        <v>525</v>
      </c>
      <c r="L143">
        <v>1348</v>
      </c>
      <c r="N143">
        <v>1009</v>
      </c>
      <c r="O143" t="s">
        <v>100</v>
      </c>
      <c r="P143" t="s">
        <v>100</v>
      </c>
      <c r="Q143">
        <v>1000</v>
      </c>
      <c r="X143">
        <v>0.00016</v>
      </c>
      <c r="Y143">
        <v>2754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0.00016</v>
      </c>
      <c r="AH143">
        <v>3</v>
      </c>
      <c r="AI143">
        <v>-1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ROW(Source!A80)</f>
        <v>80</v>
      </c>
      <c r="B144">
        <v>27243407</v>
      </c>
      <c r="C144">
        <v>27243398</v>
      </c>
      <c r="D144">
        <v>20753257</v>
      </c>
      <c r="E144">
        <v>1</v>
      </c>
      <c r="F144">
        <v>1</v>
      </c>
      <c r="G144">
        <v>1</v>
      </c>
      <c r="H144">
        <v>3</v>
      </c>
      <c r="I144" t="s">
        <v>526</v>
      </c>
      <c r="J144" t="s">
        <v>527</v>
      </c>
      <c r="K144" t="s">
        <v>528</v>
      </c>
      <c r="L144">
        <v>1348</v>
      </c>
      <c r="N144">
        <v>1009</v>
      </c>
      <c r="O144" t="s">
        <v>100</v>
      </c>
      <c r="P144" t="s">
        <v>100</v>
      </c>
      <c r="Q144">
        <v>1000</v>
      </c>
      <c r="X144">
        <v>0.00019</v>
      </c>
      <c r="Y144">
        <v>12779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0.00019</v>
      </c>
      <c r="AH144">
        <v>3</v>
      </c>
      <c r="AI144">
        <v>-1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ROW(Source!A80)</f>
        <v>80</v>
      </c>
      <c r="B145">
        <v>27243408</v>
      </c>
      <c r="C145">
        <v>27243398</v>
      </c>
      <c r="D145">
        <v>20774059</v>
      </c>
      <c r="E145">
        <v>1</v>
      </c>
      <c r="F145">
        <v>1</v>
      </c>
      <c r="G145">
        <v>1</v>
      </c>
      <c r="H145">
        <v>3</v>
      </c>
      <c r="I145" t="s">
        <v>431</v>
      </c>
      <c r="J145" t="s">
        <v>432</v>
      </c>
      <c r="K145" t="s">
        <v>529</v>
      </c>
      <c r="L145">
        <v>1354</v>
      </c>
      <c r="N145">
        <v>1010</v>
      </c>
      <c r="O145" t="s">
        <v>380</v>
      </c>
      <c r="P145" t="s">
        <v>380</v>
      </c>
      <c r="Q145">
        <v>1</v>
      </c>
      <c r="X145">
        <v>1</v>
      </c>
      <c r="Y145">
        <v>392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1</v>
      </c>
      <c r="AH145">
        <v>3</v>
      </c>
      <c r="AI145">
        <v>-1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ROW(Source!A81)</f>
        <v>81</v>
      </c>
      <c r="B146">
        <v>27243414</v>
      </c>
      <c r="C146">
        <v>27243409</v>
      </c>
      <c r="D146">
        <v>20812114</v>
      </c>
      <c r="E146">
        <v>1</v>
      </c>
      <c r="F146">
        <v>1</v>
      </c>
      <c r="G146">
        <v>1</v>
      </c>
      <c r="H146">
        <v>1</v>
      </c>
      <c r="I146" t="s">
        <v>429</v>
      </c>
      <c r="K146" t="s">
        <v>430</v>
      </c>
      <c r="L146">
        <v>1369</v>
      </c>
      <c r="N146">
        <v>1013</v>
      </c>
      <c r="O146" t="s">
        <v>258</v>
      </c>
      <c r="P146" t="s">
        <v>258</v>
      </c>
      <c r="Q146">
        <v>1</v>
      </c>
      <c r="X146">
        <v>2.94</v>
      </c>
      <c r="Y146">
        <v>0</v>
      </c>
      <c r="Z146">
        <v>0</v>
      </c>
      <c r="AA146">
        <v>0</v>
      </c>
      <c r="AB146">
        <v>8.23</v>
      </c>
      <c r="AC146">
        <v>0</v>
      </c>
      <c r="AD146">
        <v>1</v>
      </c>
      <c r="AE146">
        <v>1</v>
      </c>
      <c r="AF146" t="s">
        <v>39</v>
      </c>
      <c r="AG146">
        <v>3.381</v>
      </c>
      <c r="AH146">
        <v>2</v>
      </c>
      <c r="AI146">
        <v>27243410</v>
      </c>
      <c r="AJ146">
        <v>120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ROW(Source!A81)</f>
        <v>81</v>
      </c>
      <c r="B147">
        <v>27243415</v>
      </c>
      <c r="C147">
        <v>27243409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23</v>
      </c>
      <c r="K147" t="s">
        <v>276</v>
      </c>
      <c r="L147">
        <v>608254</v>
      </c>
      <c r="N147">
        <v>1013</v>
      </c>
      <c r="O147" t="s">
        <v>277</v>
      </c>
      <c r="P147" t="s">
        <v>277</v>
      </c>
      <c r="Q147">
        <v>1</v>
      </c>
      <c r="X147">
        <v>0.01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38</v>
      </c>
      <c r="AG147">
        <v>0.0125</v>
      </c>
      <c r="AH147">
        <v>2</v>
      </c>
      <c r="AI147">
        <v>27243411</v>
      </c>
      <c r="AJ147">
        <v>121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ROW(Source!A81)</f>
        <v>81</v>
      </c>
      <c r="B148">
        <v>27243416</v>
      </c>
      <c r="C148">
        <v>27243409</v>
      </c>
      <c r="D148">
        <v>20802610</v>
      </c>
      <c r="E148">
        <v>1</v>
      </c>
      <c r="F148">
        <v>1</v>
      </c>
      <c r="G148">
        <v>1</v>
      </c>
      <c r="H148">
        <v>2</v>
      </c>
      <c r="I148" t="s">
        <v>336</v>
      </c>
      <c r="J148" t="s">
        <v>382</v>
      </c>
      <c r="K148" t="s">
        <v>338</v>
      </c>
      <c r="L148">
        <v>1368</v>
      </c>
      <c r="N148">
        <v>1011</v>
      </c>
      <c r="O148" t="s">
        <v>262</v>
      </c>
      <c r="P148" t="s">
        <v>262</v>
      </c>
      <c r="Q148">
        <v>1</v>
      </c>
      <c r="X148">
        <v>0.01</v>
      </c>
      <c r="Y148">
        <v>0</v>
      </c>
      <c r="Z148">
        <v>99.32</v>
      </c>
      <c r="AA148">
        <v>11.43</v>
      </c>
      <c r="AB148">
        <v>0</v>
      </c>
      <c r="AC148">
        <v>0</v>
      </c>
      <c r="AD148">
        <v>1</v>
      </c>
      <c r="AE148">
        <v>0</v>
      </c>
      <c r="AF148" t="s">
        <v>38</v>
      </c>
      <c r="AG148">
        <v>0.0125</v>
      </c>
      <c r="AH148">
        <v>2</v>
      </c>
      <c r="AI148">
        <v>27243412</v>
      </c>
      <c r="AJ148">
        <v>122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ROW(Source!A81)</f>
        <v>81</v>
      </c>
      <c r="B149">
        <v>27243417</v>
      </c>
      <c r="C149">
        <v>27243409</v>
      </c>
      <c r="D149">
        <v>20802898</v>
      </c>
      <c r="E149">
        <v>1</v>
      </c>
      <c r="F149">
        <v>1</v>
      </c>
      <c r="G149">
        <v>1</v>
      </c>
      <c r="H149">
        <v>2</v>
      </c>
      <c r="I149" t="s">
        <v>517</v>
      </c>
      <c r="J149" t="s">
        <v>518</v>
      </c>
      <c r="K149" t="s">
        <v>519</v>
      </c>
      <c r="L149">
        <v>1368</v>
      </c>
      <c r="N149">
        <v>1011</v>
      </c>
      <c r="O149" t="s">
        <v>262</v>
      </c>
      <c r="P149" t="s">
        <v>262</v>
      </c>
      <c r="Q149">
        <v>1</v>
      </c>
      <c r="X149">
        <v>1.6</v>
      </c>
      <c r="Y149">
        <v>0</v>
      </c>
      <c r="Z149">
        <v>10.22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38</v>
      </c>
      <c r="AG149">
        <v>2</v>
      </c>
      <c r="AH149">
        <v>3</v>
      </c>
      <c r="AI149">
        <v>-1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ROW(Source!A81)</f>
        <v>81</v>
      </c>
      <c r="B150">
        <v>27243418</v>
      </c>
      <c r="C150">
        <v>27243409</v>
      </c>
      <c r="D150">
        <v>20804495</v>
      </c>
      <c r="E150">
        <v>1</v>
      </c>
      <c r="F150">
        <v>1</v>
      </c>
      <c r="G150">
        <v>1</v>
      </c>
      <c r="H150">
        <v>2</v>
      </c>
      <c r="I150" t="s">
        <v>271</v>
      </c>
      <c r="J150" t="s">
        <v>490</v>
      </c>
      <c r="K150" t="s">
        <v>273</v>
      </c>
      <c r="L150">
        <v>1368</v>
      </c>
      <c r="N150">
        <v>1011</v>
      </c>
      <c r="O150" t="s">
        <v>262</v>
      </c>
      <c r="P150" t="s">
        <v>262</v>
      </c>
      <c r="Q150">
        <v>1</v>
      </c>
      <c r="X150">
        <v>0.01</v>
      </c>
      <c r="Y150">
        <v>0</v>
      </c>
      <c r="Z150">
        <v>88.84</v>
      </c>
      <c r="AA150">
        <v>8.52</v>
      </c>
      <c r="AB150">
        <v>0</v>
      </c>
      <c r="AC150">
        <v>0</v>
      </c>
      <c r="AD150">
        <v>1</v>
      </c>
      <c r="AE150">
        <v>0</v>
      </c>
      <c r="AF150" t="s">
        <v>38</v>
      </c>
      <c r="AG150">
        <v>0.0125</v>
      </c>
      <c r="AH150">
        <v>3</v>
      </c>
      <c r="AI150">
        <v>-1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ROW(Source!A81)</f>
        <v>81</v>
      </c>
      <c r="B151">
        <v>27243419</v>
      </c>
      <c r="C151">
        <v>27243409</v>
      </c>
      <c r="D151">
        <v>20752159</v>
      </c>
      <c r="E151">
        <v>1</v>
      </c>
      <c r="F151">
        <v>1</v>
      </c>
      <c r="G151">
        <v>1</v>
      </c>
      <c r="H151">
        <v>3</v>
      </c>
      <c r="I151" t="s">
        <v>520</v>
      </c>
      <c r="J151" t="s">
        <v>521</v>
      </c>
      <c r="K151" t="s">
        <v>522</v>
      </c>
      <c r="L151">
        <v>1348</v>
      </c>
      <c r="N151">
        <v>1009</v>
      </c>
      <c r="O151" t="s">
        <v>100</v>
      </c>
      <c r="P151" t="s">
        <v>100</v>
      </c>
      <c r="Q151">
        <v>1000</v>
      </c>
      <c r="X151">
        <v>6E-05</v>
      </c>
      <c r="Y151">
        <v>15338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6E-05</v>
      </c>
      <c r="AH151">
        <v>3</v>
      </c>
      <c r="AI151">
        <v>-1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ROW(Source!A81)</f>
        <v>81</v>
      </c>
      <c r="B152">
        <v>27243420</v>
      </c>
      <c r="C152">
        <v>27243409</v>
      </c>
      <c r="D152">
        <v>20753090</v>
      </c>
      <c r="E152">
        <v>1</v>
      </c>
      <c r="F152">
        <v>1</v>
      </c>
      <c r="G152">
        <v>1</v>
      </c>
      <c r="H152">
        <v>3</v>
      </c>
      <c r="I152" t="s">
        <v>523</v>
      </c>
      <c r="J152" t="s">
        <v>524</v>
      </c>
      <c r="K152" t="s">
        <v>525</v>
      </c>
      <c r="L152">
        <v>1348</v>
      </c>
      <c r="N152">
        <v>1009</v>
      </c>
      <c r="O152" t="s">
        <v>100</v>
      </c>
      <c r="P152" t="s">
        <v>100</v>
      </c>
      <c r="Q152">
        <v>1000</v>
      </c>
      <c r="X152">
        <v>0.00016</v>
      </c>
      <c r="Y152">
        <v>2754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0.00016</v>
      </c>
      <c r="AH152">
        <v>3</v>
      </c>
      <c r="AI152">
        <v>-1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ROW(Source!A81)</f>
        <v>81</v>
      </c>
      <c r="B153">
        <v>27243421</v>
      </c>
      <c r="C153">
        <v>27243409</v>
      </c>
      <c r="D153">
        <v>20753257</v>
      </c>
      <c r="E153">
        <v>1</v>
      </c>
      <c r="F153">
        <v>1</v>
      </c>
      <c r="G153">
        <v>1</v>
      </c>
      <c r="H153">
        <v>3</v>
      </c>
      <c r="I153" t="s">
        <v>526</v>
      </c>
      <c r="J153" t="s">
        <v>527</v>
      </c>
      <c r="K153" t="s">
        <v>528</v>
      </c>
      <c r="L153">
        <v>1348</v>
      </c>
      <c r="N153">
        <v>1009</v>
      </c>
      <c r="O153" t="s">
        <v>100</v>
      </c>
      <c r="P153" t="s">
        <v>100</v>
      </c>
      <c r="Q153">
        <v>1000</v>
      </c>
      <c r="X153">
        <v>0.00019</v>
      </c>
      <c r="Y153">
        <v>12779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0.00019</v>
      </c>
      <c r="AH153">
        <v>3</v>
      </c>
      <c r="AI153">
        <v>-1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ROW(Source!A81)</f>
        <v>81</v>
      </c>
      <c r="B154">
        <v>27243422</v>
      </c>
      <c r="C154">
        <v>27243409</v>
      </c>
      <c r="D154">
        <v>20774059</v>
      </c>
      <c r="E154">
        <v>1</v>
      </c>
      <c r="F154">
        <v>1</v>
      </c>
      <c r="G154">
        <v>1</v>
      </c>
      <c r="H154">
        <v>3</v>
      </c>
      <c r="I154" t="s">
        <v>431</v>
      </c>
      <c r="J154" t="s">
        <v>432</v>
      </c>
      <c r="K154" t="s">
        <v>529</v>
      </c>
      <c r="L154">
        <v>1354</v>
      </c>
      <c r="N154">
        <v>1010</v>
      </c>
      <c r="O154" t="s">
        <v>380</v>
      </c>
      <c r="P154" t="s">
        <v>380</v>
      </c>
      <c r="Q154">
        <v>1</v>
      </c>
      <c r="X154">
        <v>1</v>
      </c>
      <c r="Y154">
        <v>392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1</v>
      </c>
      <c r="AH154">
        <v>2</v>
      </c>
      <c r="AI154">
        <v>27243413</v>
      </c>
      <c r="AJ154">
        <v>123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ROW(Source!A82)</f>
        <v>82</v>
      </c>
      <c r="B155">
        <v>27243446</v>
      </c>
      <c r="C155">
        <v>27243423</v>
      </c>
      <c r="D155">
        <v>20812658</v>
      </c>
      <c r="E155">
        <v>1</v>
      </c>
      <c r="F155">
        <v>1</v>
      </c>
      <c r="G155">
        <v>1</v>
      </c>
      <c r="H155">
        <v>1</v>
      </c>
      <c r="I155" t="s">
        <v>381</v>
      </c>
      <c r="K155" t="s">
        <v>330</v>
      </c>
      <c r="L155">
        <v>1369</v>
      </c>
      <c r="N155">
        <v>1013</v>
      </c>
      <c r="O155" t="s">
        <v>258</v>
      </c>
      <c r="P155" t="s">
        <v>258</v>
      </c>
      <c r="Q155">
        <v>1</v>
      </c>
      <c r="X155">
        <v>61.6</v>
      </c>
      <c r="Y155">
        <v>0</v>
      </c>
      <c r="Z155">
        <v>0</v>
      </c>
      <c r="AA155">
        <v>0</v>
      </c>
      <c r="AB155">
        <v>7.56</v>
      </c>
      <c r="AC155">
        <v>0</v>
      </c>
      <c r="AD155">
        <v>1</v>
      </c>
      <c r="AE155">
        <v>1</v>
      </c>
      <c r="AF155" t="s">
        <v>39</v>
      </c>
      <c r="AG155">
        <v>70.83999999999999</v>
      </c>
      <c r="AH155">
        <v>2</v>
      </c>
      <c r="AI155">
        <v>27243424</v>
      </c>
      <c r="AJ155">
        <v>124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ROW(Source!A82)</f>
        <v>82</v>
      </c>
      <c r="B156">
        <v>27243447</v>
      </c>
      <c r="C156">
        <v>27243423</v>
      </c>
      <c r="D156">
        <v>121548</v>
      </c>
      <c r="E156">
        <v>1</v>
      </c>
      <c r="F156">
        <v>1</v>
      </c>
      <c r="G156">
        <v>1</v>
      </c>
      <c r="H156">
        <v>1</v>
      </c>
      <c r="I156" t="s">
        <v>23</v>
      </c>
      <c r="K156" t="s">
        <v>276</v>
      </c>
      <c r="L156">
        <v>608254</v>
      </c>
      <c r="N156">
        <v>1013</v>
      </c>
      <c r="O156" t="s">
        <v>277</v>
      </c>
      <c r="P156" t="s">
        <v>277</v>
      </c>
      <c r="Q156">
        <v>1</v>
      </c>
      <c r="X156">
        <v>0.1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2</v>
      </c>
      <c r="AF156" t="s">
        <v>38</v>
      </c>
      <c r="AG156">
        <v>0.125</v>
      </c>
      <c r="AH156">
        <v>2</v>
      </c>
      <c r="AI156">
        <v>27243425</v>
      </c>
      <c r="AJ156">
        <v>125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ROW(Source!A82)</f>
        <v>82</v>
      </c>
      <c r="B157">
        <v>27243448</v>
      </c>
      <c r="C157">
        <v>27243423</v>
      </c>
      <c r="D157">
        <v>20802610</v>
      </c>
      <c r="E157">
        <v>1</v>
      </c>
      <c r="F157">
        <v>1</v>
      </c>
      <c r="G157">
        <v>1</v>
      </c>
      <c r="H157">
        <v>2</v>
      </c>
      <c r="I157" t="s">
        <v>336</v>
      </c>
      <c r="J157" t="s">
        <v>382</v>
      </c>
      <c r="K157" t="s">
        <v>338</v>
      </c>
      <c r="L157">
        <v>1368</v>
      </c>
      <c r="N157">
        <v>1011</v>
      </c>
      <c r="O157" t="s">
        <v>262</v>
      </c>
      <c r="P157" t="s">
        <v>262</v>
      </c>
      <c r="Q157">
        <v>1</v>
      </c>
      <c r="X157">
        <v>0.07</v>
      </c>
      <c r="Y157">
        <v>0</v>
      </c>
      <c r="Z157">
        <v>99.32</v>
      </c>
      <c r="AA157">
        <v>11.43</v>
      </c>
      <c r="AB157">
        <v>0</v>
      </c>
      <c r="AC157">
        <v>0</v>
      </c>
      <c r="AD157">
        <v>1</v>
      </c>
      <c r="AE157">
        <v>0</v>
      </c>
      <c r="AF157" t="s">
        <v>38</v>
      </c>
      <c r="AG157">
        <v>0.08750000000000001</v>
      </c>
      <c r="AH157">
        <v>2</v>
      </c>
      <c r="AI157">
        <v>27243426</v>
      </c>
      <c r="AJ157">
        <v>126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ROW(Source!A82)</f>
        <v>82</v>
      </c>
      <c r="B158">
        <v>27243449</v>
      </c>
      <c r="C158">
        <v>27243423</v>
      </c>
      <c r="D158">
        <v>20802695</v>
      </c>
      <c r="E158">
        <v>1</v>
      </c>
      <c r="F158">
        <v>1</v>
      </c>
      <c r="G158">
        <v>1</v>
      </c>
      <c r="H158">
        <v>2</v>
      </c>
      <c r="I158" t="s">
        <v>281</v>
      </c>
      <c r="J158" t="s">
        <v>493</v>
      </c>
      <c r="K158" t="s">
        <v>283</v>
      </c>
      <c r="L158">
        <v>1368</v>
      </c>
      <c r="N158">
        <v>1011</v>
      </c>
      <c r="O158" t="s">
        <v>262</v>
      </c>
      <c r="P158" t="s">
        <v>262</v>
      </c>
      <c r="Q158">
        <v>1</v>
      </c>
      <c r="X158">
        <v>0.03</v>
      </c>
      <c r="Y158">
        <v>0</v>
      </c>
      <c r="Z158">
        <v>112.26</v>
      </c>
      <c r="AA158">
        <v>11.43</v>
      </c>
      <c r="AB158">
        <v>0</v>
      </c>
      <c r="AC158">
        <v>0</v>
      </c>
      <c r="AD158">
        <v>1</v>
      </c>
      <c r="AE158">
        <v>0</v>
      </c>
      <c r="AF158" t="s">
        <v>38</v>
      </c>
      <c r="AG158">
        <v>0.0375</v>
      </c>
      <c r="AH158">
        <v>2</v>
      </c>
      <c r="AI158">
        <v>27243427</v>
      </c>
      <c r="AJ158">
        <v>127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ROW(Source!A82)</f>
        <v>82</v>
      </c>
      <c r="B159">
        <v>27243450</v>
      </c>
      <c r="C159">
        <v>27243423</v>
      </c>
      <c r="D159">
        <v>20803613</v>
      </c>
      <c r="E159">
        <v>1</v>
      </c>
      <c r="F159">
        <v>1</v>
      </c>
      <c r="G159">
        <v>1</v>
      </c>
      <c r="H159">
        <v>2</v>
      </c>
      <c r="I159" t="s">
        <v>384</v>
      </c>
      <c r="J159" t="s">
        <v>494</v>
      </c>
      <c r="K159" t="s">
        <v>385</v>
      </c>
      <c r="L159">
        <v>1368</v>
      </c>
      <c r="N159">
        <v>1011</v>
      </c>
      <c r="O159" t="s">
        <v>262</v>
      </c>
      <c r="P159" t="s">
        <v>262</v>
      </c>
      <c r="Q159">
        <v>1</v>
      </c>
      <c r="X159">
        <v>1.6</v>
      </c>
      <c r="Y159">
        <v>0</v>
      </c>
      <c r="Z159">
        <v>3.71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38</v>
      </c>
      <c r="AG159">
        <v>2</v>
      </c>
      <c r="AH159">
        <v>2</v>
      </c>
      <c r="AI159">
        <v>27243428</v>
      </c>
      <c r="AJ159">
        <v>128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ROW(Source!A82)</f>
        <v>82</v>
      </c>
      <c r="B160">
        <v>27243451</v>
      </c>
      <c r="C160">
        <v>27243423</v>
      </c>
      <c r="D160">
        <v>20804182</v>
      </c>
      <c r="E160">
        <v>1</v>
      </c>
      <c r="F160">
        <v>1</v>
      </c>
      <c r="G160">
        <v>1</v>
      </c>
      <c r="H160">
        <v>2</v>
      </c>
      <c r="I160" t="s">
        <v>265</v>
      </c>
      <c r="J160" t="s">
        <v>386</v>
      </c>
      <c r="K160" t="s">
        <v>267</v>
      </c>
      <c r="L160">
        <v>1368</v>
      </c>
      <c r="N160">
        <v>1011</v>
      </c>
      <c r="O160" t="s">
        <v>262</v>
      </c>
      <c r="P160" t="s">
        <v>262</v>
      </c>
      <c r="Q160">
        <v>1</v>
      </c>
      <c r="X160">
        <v>8.1</v>
      </c>
      <c r="Y160">
        <v>0</v>
      </c>
      <c r="Z160">
        <v>1.95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38</v>
      </c>
      <c r="AG160">
        <v>10.125</v>
      </c>
      <c r="AH160">
        <v>2</v>
      </c>
      <c r="AI160">
        <v>27243429</v>
      </c>
      <c r="AJ160">
        <v>129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ROW(Source!A82)</f>
        <v>82</v>
      </c>
      <c r="B161">
        <v>27243452</v>
      </c>
      <c r="C161">
        <v>27243423</v>
      </c>
      <c r="D161">
        <v>20804209</v>
      </c>
      <c r="E161">
        <v>1</v>
      </c>
      <c r="F161">
        <v>1</v>
      </c>
      <c r="G161">
        <v>1</v>
      </c>
      <c r="H161">
        <v>2</v>
      </c>
      <c r="I161" t="s">
        <v>387</v>
      </c>
      <c r="J161" t="s">
        <v>388</v>
      </c>
      <c r="K161" t="s">
        <v>389</v>
      </c>
      <c r="L161">
        <v>1368</v>
      </c>
      <c r="N161">
        <v>1011</v>
      </c>
      <c r="O161" t="s">
        <v>262</v>
      </c>
      <c r="P161" t="s">
        <v>262</v>
      </c>
      <c r="Q161">
        <v>1</v>
      </c>
      <c r="X161">
        <v>1.03</v>
      </c>
      <c r="Y161">
        <v>0</v>
      </c>
      <c r="Z161">
        <v>2.8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38</v>
      </c>
      <c r="AG161">
        <v>1.2875</v>
      </c>
      <c r="AH161">
        <v>2</v>
      </c>
      <c r="AI161">
        <v>27243430</v>
      </c>
      <c r="AJ161">
        <v>130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ROW(Source!A82)</f>
        <v>82</v>
      </c>
      <c r="B162">
        <v>27243453</v>
      </c>
      <c r="C162">
        <v>27243423</v>
      </c>
      <c r="D162">
        <v>20804243</v>
      </c>
      <c r="E162">
        <v>1</v>
      </c>
      <c r="F162">
        <v>1</v>
      </c>
      <c r="G162">
        <v>1</v>
      </c>
      <c r="H162">
        <v>2</v>
      </c>
      <c r="I162" t="s">
        <v>390</v>
      </c>
      <c r="J162" t="s">
        <v>391</v>
      </c>
      <c r="K162" t="s">
        <v>392</v>
      </c>
      <c r="L162">
        <v>1368</v>
      </c>
      <c r="N162">
        <v>1011</v>
      </c>
      <c r="O162" t="s">
        <v>262</v>
      </c>
      <c r="P162" t="s">
        <v>262</v>
      </c>
      <c r="Q162">
        <v>1</v>
      </c>
      <c r="X162">
        <v>19.4</v>
      </c>
      <c r="Y162">
        <v>0</v>
      </c>
      <c r="Z162">
        <v>2.43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38</v>
      </c>
      <c r="AG162">
        <v>24.25</v>
      </c>
      <c r="AH162">
        <v>2</v>
      </c>
      <c r="AI162">
        <v>27243431</v>
      </c>
      <c r="AJ162">
        <v>131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ROW(Source!A82)</f>
        <v>82</v>
      </c>
      <c r="B163">
        <v>27243454</v>
      </c>
      <c r="C163">
        <v>27243423</v>
      </c>
      <c r="D163">
        <v>20804343</v>
      </c>
      <c r="E163">
        <v>1</v>
      </c>
      <c r="F163">
        <v>1</v>
      </c>
      <c r="G163">
        <v>1</v>
      </c>
      <c r="H163">
        <v>2</v>
      </c>
      <c r="I163" t="s">
        <v>393</v>
      </c>
      <c r="J163" t="s">
        <v>495</v>
      </c>
      <c r="K163" t="s">
        <v>496</v>
      </c>
      <c r="L163">
        <v>1368</v>
      </c>
      <c r="N163">
        <v>1011</v>
      </c>
      <c r="O163" t="s">
        <v>262</v>
      </c>
      <c r="P163" t="s">
        <v>262</v>
      </c>
      <c r="Q163">
        <v>1</v>
      </c>
      <c r="X163">
        <v>1.17</v>
      </c>
      <c r="Y163">
        <v>0</v>
      </c>
      <c r="Z163">
        <v>14.83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38</v>
      </c>
      <c r="AG163">
        <v>1.4625</v>
      </c>
      <c r="AH163">
        <v>2</v>
      </c>
      <c r="AI163">
        <v>27243432</v>
      </c>
      <c r="AJ163">
        <v>132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ROW(Source!A82)</f>
        <v>82</v>
      </c>
      <c r="B164">
        <v>27243455</v>
      </c>
      <c r="C164">
        <v>27243423</v>
      </c>
      <c r="D164">
        <v>20804495</v>
      </c>
      <c r="E164">
        <v>1</v>
      </c>
      <c r="F164">
        <v>1</v>
      </c>
      <c r="G164">
        <v>1</v>
      </c>
      <c r="H164">
        <v>2</v>
      </c>
      <c r="I164" t="s">
        <v>271</v>
      </c>
      <c r="J164" t="s">
        <v>490</v>
      </c>
      <c r="K164" t="s">
        <v>273</v>
      </c>
      <c r="L164">
        <v>1368</v>
      </c>
      <c r="N164">
        <v>1011</v>
      </c>
      <c r="O164" t="s">
        <v>262</v>
      </c>
      <c r="P164" t="s">
        <v>262</v>
      </c>
      <c r="Q164">
        <v>1</v>
      </c>
      <c r="X164">
        <v>0.04</v>
      </c>
      <c r="Y164">
        <v>0</v>
      </c>
      <c r="Z164">
        <v>88.84</v>
      </c>
      <c r="AA164">
        <v>8.52</v>
      </c>
      <c r="AB164">
        <v>0</v>
      </c>
      <c r="AC164">
        <v>0</v>
      </c>
      <c r="AD164">
        <v>1</v>
      </c>
      <c r="AE164">
        <v>0</v>
      </c>
      <c r="AF164" t="s">
        <v>38</v>
      </c>
      <c r="AG164">
        <v>0.05</v>
      </c>
      <c r="AH164">
        <v>2</v>
      </c>
      <c r="AI164">
        <v>27243433</v>
      </c>
      <c r="AJ164">
        <v>133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ROW(Source!A82)</f>
        <v>82</v>
      </c>
      <c r="B165">
        <v>27243456</v>
      </c>
      <c r="C165">
        <v>27243423</v>
      </c>
      <c r="D165">
        <v>20753470</v>
      </c>
      <c r="E165">
        <v>1</v>
      </c>
      <c r="F165">
        <v>1</v>
      </c>
      <c r="G165">
        <v>1</v>
      </c>
      <c r="H165">
        <v>3</v>
      </c>
      <c r="I165" t="s">
        <v>497</v>
      </c>
      <c r="J165" t="s">
        <v>498</v>
      </c>
      <c r="K165" t="s">
        <v>499</v>
      </c>
      <c r="L165">
        <v>1348</v>
      </c>
      <c r="N165">
        <v>1009</v>
      </c>
      <c r="O165" t="s">
        <v>100</v>
      </c>
      <c r="P165" t="s">
        <v>100</v>
      </c>
      <c r="Q165">
        <v>1000</v>
      </c>
      <c r="X165">
        <v>0.0045</v>
      </c>
      <c r="Y165">
        <v>7500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0.0045</v>
      </c>
      <c r="AH165">
        <v>3</v>
      </c>
      <c r="AI165">
        <v>-1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ROW(Source!A82)</f>
        <v>82</v>
      </c>
      <c r="B166">
        <v>27243457</v>
      </c>
      <c r="C166">
        <v>27243423</v>
      </c>
      <c r="D166">
        <v>20753482</v>
      </c>
      <c r="E166">
        <v>1</v>
      </c>
      <c r="F166">
        <v>1</v>
      </c>
      <c r="G166">
        <v>1</v>
      </c>
      <c r="H166">
        <v>3</v>
      </c>
      <c r="I166" t="s">
        <v>500</v>
      </c>
      <c r="J166" t="s">
        <v>501</v>
      </c>
      <c r="K166" t="s">
        <v>408</v>
      </c>
      <c r="L166">
        <v>1346</v>
      </c>
      <c r="N166">
        <v>1009</v>
      </c>
      <c r="O166" t="s">
        <v>315</v>
      </c>
      <c r="P166" t="s">
        <v>315</v>
      </c>
      <c r="Q166">
        <v>1</v>
      </c>
      <c r="X166">
        <v>3.5</v>
      </c>
      <c r="Y166">
        <v>6.19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3.5</v>
      </c>
      <c r="AH166">
        <v>3</v>
      </c>
      <c r="AI166">
        <v>-1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ROW(Source!A82)</f>
        <v>82</v>
      </c>
      <c r="B167">
        <v>27243458</v>
      </c>
      <c r="C167">
        <v>27243423</v>
      </c>
      <c r="D167">
        <v>20753526</v>
      </c>
      <c r="E167">
        <v>1</v>
      </c>
      <c r="F167">
        <v>1</v>
      </c>
      <c r="G167">
        <v>1</v>
      </c>
      <c r="H167">
        <v>3</v>
      </c>
      <c r="I167" t="s">
        <v>502</v>
      </c>
      <c r="J167" t="s">
        <v>503</v>
      </c>
      <c r="K167" t="s">
        <v>504</v>
      </c>
      <c r="L167">
        <v>1348</v>
      </c>
      <c r="N167">
        <v>1009</v>
      </c>
      <c r="O167" t="s">
        <v>100</v>
      </c>
      <c r="P167" t="s">
        <v>100</v>
      </c>
      <c r="Q167">
        <v>1000</v>
      </c>
      <c r="X167">
        <v>0.006</v>
      </c>
      <c r="Y167">
        <v>35011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0.006</v>
      </c>
      <c r="AH167">
        <v>3</v>
      </c>
      <c r="AI167">
        <v>-1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ROW(Source!A82)</f>
        <v>82</v>
      </c>
      <c r="B168">
        <v>27243459</v>
      </c>
      <c r="C168">
        <v>27243423</v>
      </c>
      <c r="D168">
        <v>20753584</v>
      </c>
      <c r="E168">
        <v>1</v>
      </c>
      <c r="F168">
        <v>1</v>
      </c>
      <c r="G168">
        <v>1</v>
      </c>
      <c r="H168">
        <v>3</v>
      </c>
      <c r="I168" t="s">
        <v>417</v>
      </c>
      <c r="J168" t="s">
        <v>418</v>
      </c>
      <c r="K168" t="s">
        <v>505</v>
      </c>
      <c r="L168">
        <v>1348</v>
      </c>
      <c r="N168">
        <v>1009</v>
      </c>
      <c r="O168" t="s">
        <v>100</v>
      </c>
      <c r="P168" t="s">
        <v>100</v>
      </c>
      <c r="Q168">
        <v>1000</v>
      </c>
      <c r="X168">
        <v>0.054</v>
      </c>
      <c r="Y168">
        <v>15347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0.054</v>
      </c>
      <c r="AH168">
        <v>3</v>
      </c>
      <c r="AI168">
        <v>-1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ROW(Source!A82)</f>
        <v>82</v>
      </c>
      <c r="B169">
        <v>27243460</v>
      </c>
      <c r="C169">
        <v>27243423</v>
      </c>
      <c r="D169">
        <v>20753982</v>
      </c>
      <c r="E169">
        <v>1</v>
      </c>
      <c r="F169">
        <v>1</v>
      </c>
      <c r="G169">
        <v>1</v>
      </c>
      <c r="H169">
        <v>3</v>
      </c>
      <c r="I169" t="s">
        <v>312</v>
      </c>
      <c r="J169" t="s">
        <v>506</v>
      </c>
      <c r="K169" t="s">
        <v>314</v>
      </c>
      <c r="L169">
        <v>1346</v>
      </c>
      <c r="N169">
        <v>1009</v>
      </c>
      <c r="O169" t="s">
        <v>315</v>
      </c>
      <c r="P169" t="s">
        <v>315</v>
      </c>
      <c r="Q169">
        <v>1</v>
      </c>
      <c r="X169">
        <v>3.1</v>
      </c>
      <c r="Y169">
        <v>8.96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3.1</v>
      </c>
      <c r="AH169">
        <v>3</v>
      </c>
      <c r="AI169">
        <v>-1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ROW(Source!A82)</f>
        <v>82</v>
      </c>
      <c r="B170">
        <v>27243461</v>
      </c>
      <c r="C170">
        <v>27243423</v>
      </c>
      <c r="D170">
        <v>20797497</v>
      </c>
      <c r="E170">
        <v>1</v>
      </c>
      <c r="F170">
        <v>1</v>
      </c>
      <c r="G170">
        <v>1</v>
      </c>
      <c r="H170">
        <v>3</v>
      </c>
      <c r="I170" t="s">
        <v>507</v>
      </c>
      <c r="J170" t="s">
        <v>508</v>
      </c>
      <c r="K170" t="s">
        <v>509</v>
      </c>
      <c r="L170">
        <v>1346</v>
      </c>
      <c r="N170">
        <v>1009</v>
      </c>
      <c r="O170" t="s">
        <v>315</v>
      </c>
      <c r="P170" t="s">
        <v>315</v>
      </c>
      <c r="Q170">
        <v>1</v>
      </c>
      <c r="X170">
        <v>9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9</v>
      </c>
      <c r="AH170">
        <v>3</v>
      </c>
      <c r="AI170">
        <v>-1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ROW(Source!A82)</f>
        <v>82</v>
      </c>
      <c r="B171">
        <v>27243462</v>
      </c>
      <c r="C171">
        <v>27243423</v>
      </c>
      <c r="D171">
        <v>20797522</v>
      </c>
      <c r="E171">
        <v>1</v>
      </c>
      <c r="F171">
        <v>1</v>
      </c>
      <c r="G171">
        <v>1</v>
      </c>
      <c r="H171">
        <v>3</v>
      </c>
      <c r="I171" t="s">
        <v>510</v>
      </c>
      <c r="J171" t="s">
        <v>511</v>
      </c>
      <c r="K171" t="s">
        <v>512</v>
      </c>
      <c r="L171">
        <v>1327</v>
      </c>
      <c r="N171">
        <v>1005</v>
      </c>
      <c r="O171" t="s">
        <v>322</v>
      </c>
      <c r="P171" t="s">
        <v>322</v>
      </c>
      <c r="Q171">
        <v>1</v>
      </c>
      <c r="X171">
        <v>128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128</v>
      </c>
      <c r="AH171">
        <v>3</v>
      </c>
      <c r="AI171">
        <v>-1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ROW(Source!A83)</f>
        <v>83</v>
      </c>
      <c r="B172">
        <v>27243470</v>
      </c>
      <c r="C172">
        <v>27243463</v>
      </c>
      <c r="D172">
        <v>20812189</v>
      </c>
      <c r="E172">
        <v>1</v>
      </c>
      <c r="F172">
        <v>1</v>
      </c>
      <c r="G172">
        <v>1</v>
      </c>
      <c r="H172">
        <v>1</v>
      </c>
      <c r="I172" t="s">
        <v>409</v>
      </c>
      <c r="K172" t="s">
        <v>410</v>
      </c>
      <c r="L172">
        <v>1369</v>
      </c>
      <c r="N172">
        <v>1013</v>
      </c>
      <c r="O172" t="s">
        <v>258</v>
      </c>
      <c r="P172" t="s">
        <v>258</v>
      </c>
      <c r="Q172">
        <v>1</v>
      </c>
      <c r="X172">
        <v>101.24</v>
      </c>
      <c r="Y172">
        <v>0</v>
      </c>
      <c r="Z172">
        <v>0</v>
      </c>
      <c r="AA172">
        <v>0</v>
      </c>
      <c r="AB172">
        <v>6.88</v>
      </c>
      <c r="AC172">
        <v>0</v>
      </c>
      <c r="AD172">
        <v>1</v>
      </c>
      <c r="AE172">
        <v>1</v>
      </c>
      <c r="AG172">
        <v>101.24</v>
      </c>
      <c r="AH172">
        <v>2</v>
      </c>
      <c r="AI172">
        <v>27243464</v>
      </c>
      <c r="AJ172">
        <v>146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ROW(Source!A83)</f>
        <v>83</v>
      </c>
      <c r="B173">
        <v>27243471</v>
      </c>
      <c r="C173">
        <v>27243463</v>
      </c>
      <c r="D173">
        <v>121548</v>
      </c>
      <c r="E173">
        <v>1</v>
      </c>
      <c r="F173">
        <v>1</v>
      </c>
      <c r="G173">
        <v>1</v>
      </c>
      <c r="H173">
        <v>1</v>
      </c>
      <c r="I173" t="s">
        <v>23</v>
      </c>
      <c r="K173" t="s">
        <v>276</v>
      </c>
      <c r="L173">
        <v>608254</v>
      </c>
      <c r="N173">
        <v>1013</v>
      </c>
      <c r="O173" t="s">
        <v>277</v>
      </c>
      <c r="P173" t="s">
        <v>277</v>
      </c>
      <c r="Q173">
        <v>1</v>
      </c>
      <c r="X173">
        <v>0.25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2</v>
      </c>
      <c r="AG173">
        <v>0.25</v>
      </c>
      <c r="AH173">
        <v>2</v>
      </c>
      <c r="AI173">
        <v>27243465</v>
      </c>
      <c r="AJ173">
        <v>147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ROW(Source!A83)</f>
        <v>83</v>
      </c>
      <c r="B174">
        <v>27243472</v>
      </c>
      <c r="C174">
        <v>27243463</v>
      </c>
      <c r="D174">
        <v>20802825</v>
      </c>
      <c r="E174">
        <v>1</v>
      </c>
      <c r="F174">
        <v>1</v>
      </c>
      <c r="G174">
        <v>1</v>
      </c>
      <c r="H174">
        <v>2</v>
      </c>
      <c r="I174" t="s">
        <v>411</v>
      </c>
      <c r="J174" t="s">
        <v>412</v>
      </c>
      <c r="K174" t="s">
        <v>413</v>
      </c>
      <c r="L174">
        <v>1368</v>
      </c>
      <c r="N174">
        <v>1011</v>
      </c>
      <c r="O174" t="s">
        <v>262</v>
      </c>
      <c r="P174" t="s">
        <v>262</v>
      </c>
      <c r="Q174">
        <v>1</v>
      </c>
      <c r="X174">
        <v>0.25</v>
      </c>
      <c r="Y174">
        <v>0</v>
      </c>
      <c r="Z174">
        <v>31.26</v>
      </c>
      <c r="AA174">
        <v>9.82</v>
      </c>
      <c r="AB174">
        <v>0</v>
      </c>
      <c r="AC174">
        <v>0</v>
      </c>
      <c r="AD174">
        <v>1</v>
      </c>
      <c r="AE174">
        <v>0</v>
      </c>
      <c r="AG174">
        <v>0.25</v>
      </c>
      <c r="AH174">
        <v>2</v>
      </c>
      <c r="AI174">
        <v>27243466</v>
      </c>
      <c r="AJ174">
        <v>148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ROW(Source!A83)</f>
        <v>83</v>
      </c>
      <c r="B175">
        <v>27243473</v>
      </c>
      <c r="C175">
        <v>27243463</v>
      </c>
      <c r="D175">
        <v>20804495</v>
      </c>
      <c r="E175">
        <v>1</v>
      </c>
      <c r="F175">
        <v>1</v>
      </c>
      <c r="G175">
        <v>1</v>
      </c>
      <c r="H175">
        <v>2</v>
      </c>
      <c r="I175" t="s">
        <v>271</v>
      </c>
      <c r="J175" t="s">
        <v>490</v>
      </c>
      <c r="K175" t="s">
        <v>273</v>
      </c>
      <c r="L175">
        <v>1368</v>
      </c>
      <c r="N175">
        <v>1011</v>
      </c>
      <c r="O175" t="s">
        <v>262</v>
      </c>
      <c r="P175" t="s">
        <v>262</v>
      </c>
      <c r="Q175">
        <v>1</v>
      </c>
      <c r="X175">
        <v>0.1</v>
      </c>
      <c r="Y175">
        <v>0</v>
      </c>
      <c r="Z175">
        <v>88.84</v>
      </c>
      <c r="AA175">
        <v>8.52</v>
      </c>
      <c r="AB175">
        <v>0</v>
      </c>
      <c r="AC175">
        <v>0</v>
      </c>
      <c r="AD175">
        <v>1</v>
      </c>
      <c r="AE175">
        <v>0</v>
      </c>
      <c r="AG175">
        <v>0.1</v>
      </c>
      <c r="AH175">
        <v>3</v>
      </c>
      <c r="AI175">
        <v>-1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ROW(Source!A83)</f>
        <v>83</v>
      </c>
      <c r="B176">
        <v>27243474</v>
      </c>
      <c r="C176">
        <v>27243463</v>
      </c>
      <c r="D176">
        <v>20752623</v>
      </c>
      <c r="E176">
        <v>1</v>
      </c>
      <c r="F176">
        <v>1</v>
      </c>
      <c r="G176">
        <v>1</v>
      </c>
      <c r="H176">
        <v>3</v>
      </c>
      <c r="I176" t="s">
        <v>414</v>
      </c>
      <c r="J176" t="s">
        <v>415</v>
      </c>
      <c r="K176" t="s">
        <v>513</v>
      </c>
      <c r="L176">
        <v>1348</v>
      </c>
      <c r="N176">
        <v>1009</v>
      </c>
      <c r="O176" t="s">
        <v>100</v>
      </c>
      <c r="P176" t="s">
        <v>100</v>
      </c>
      <c r="Q176">
        <v>1000</v>
      </c>
      <c r="X176">
        <v>0.116</v>
      </c>
      <c r="Y176">
        <v>6473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0.116</v>
      </c>
      <c r="AH176">
        <v>2</v>
      </c>
      <c r="AI176">
        <v>27243467</v>
      </c>
      <c r="AJ176">
        <v>149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ROW(Source!A83)</f>
        <v>83</v>
      </c>
      <c r="B177">
        <v>27243475</v>
      </c>
      <c r="C177">
        <v>27243463</v>
      </c>
      <c r="D177">
        <v>20752635</v>
      </c>
      <c r="E177">
        <v>1</v>
      </c>
      <c r="F177">
        <v>1</v>
      </c>
      <c r="G177">
        <v>1</v>
      </c>
      <c r="H177">
        <v>3</v>
      </c>
      <c r="I177" t="s">
        <v>514</v>
      </c>
      <c r="J177" t="s">
        <v>515</v>
      </c>
      <c r="K177" t="s">
        <v>516</v>
      </c>
      <c r="L177">
        <v>1348</v>
      </c>
      <c r="N177">
        <v>1009</v>
      </c>
      <c r="O177" t="s">
        <v>100</v>
      </c>
      <c r="P177" t="s">
        <v>100</v>
      </c>
      <c r="Q177">
        <v>1000</v>
      </c>
      <c r="X177">
        <v>0.006</v>
      </c>
      <c r="Y177">
        <v>11777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0.006</v>
      </c>
      <c r="AH177">
        <v>3</v>
      </c>
      <c r="AI177">
        <v>-1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ROW(Source!A83)</f>
        <v>83</v>
      </c>
      <c r="B178">
        <v>27243476</v>
      </c>
      <c r="C178">
        <v>27243463</v>
      </c>
      <c r="D178">
        <v>20753521</v>
      </c>
      <c r="E178">
        <v>1</v>
      </c>
      <c r="F178">
        <v>1</v>
      </c>
      <c r="G178">
        <v>1</v>
      </c>
      <c r="H178">
        <v>3</v>
      </c>
      <c r="I178" t="s">
        <v>358</v>
      </c>
      <c r="J178" t="s">
        <v>370</v>
      </c>
      <c r="K178" t="s">
        <v>360</v>
      </c>
      <c r="L178">
        <v>1348</v>
      </c>
      <c r="N178">
        <v>1009</v>
      </c>
      <c r="O178" t="s">
        <v>100</v>
      </c>
      <c r="P178" t="s">
        <v>100</v>
      </c>
      <c r="Q178">
        <v>1000</v>
      </c>
      <c r="X178">
        <v>0.001</v>
      </c>
      <c r="Y178">
        <v>12310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0.001</v>
      </c>
      <c r="AH178">
        <v>3</v>
      </c>
      <c r="AI178">
        <v>-1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ROW(Source!A83)</f>
        <v>83</v>
      </c>
      <c r="B179">
        <v>27243477</v>
      </c>
      <c r="C179">
        <v>27243463</v>
      </c>
      <c r="D179">
        <v>20753584</v>
      </c>
      <c r="E179">
        <v>1</v>
      </c>
      <c r="F179">
        <v>1</v>
      </c>
      <c r="G179">
        <v>1</v>
      </c>
      <c r="H179">
        <v>3</v>
      </c>
      <c r="I179" t="s">
        <v>417</v>
      </c>
      <c r="J179" t="s">
        <v>418</v>
      </c>
      <c r="K179" t="s">
        <v>505</v>
      </c>
      <c r="L179">
        <v>1348</v>
      </c>
      <c r="N179">
        <v>1009</v>
      </c>
      <c r="O179" t="s">
        <v>100</v>
      </c>
      <c r="P179" t="s">
        <v>100</v>
      </c>
      <c r="Q179">
        <v>1000</v>
      </c>
      <c r="X179">
        <v>0.294</v>
      </c>
      <c r="Y179">
        <v>15347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0.294</v>
      </c>
      <c r="AH179">
        <v>2</v>
      </c>
      <c r="AI179">
        <v>27243468</v>
      </c>
      <c r="AJ179">
        <v>150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ROW(Source!A83)</f>
        <v>83</v>
      </c>
      <c r="B180">
        <v>27243478</v>
      </c>
      <c r="C180">
        <v>27243463</v>
      </c>
      <c r="D180">
        <v>20802516</v>
      </c>
      <c r="E180">
        <v>1</v>
      </c>
      <c r="F180">
        <v>1</v>
      </c>
      <c r="G180">
        <v>1</v>
      </c>
      <c r="H180">
        <v>3</v>
      </c>
      <c r="I180" t="s">
        <v>420</v>
      </c>
      <c r="J180" t="s">
        <v>421</v>
      </c>
      <c r="K180" t="s">
        <v>422</v>
      </c>
      <c r="L180">
        <v>1348</v>
      </c>
      <c r="N180">
        <v>1009</v>
      </c>
      <c r="O180" t="s">
        <v>100</v>
      </c>
      <c r="P180" t="s">
        <v>100</v>
      </c>
      <c r="Q180">
        <v>1000</v>
      </c>
      <c r="X180">
        <v>0.594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G180">
        <v>0.594</v>
      </c>
      <c r="AH180">
        <v>2</v>
      </c>
      <c r="AI180">
        <v>27243469</v>
      </c>
      <c r="AJ180">
        <v>151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ROW(Source!A84)</f>
        <v>84</v>
      </c>
      <c r="B181">
        <v>27243486</v>
      </c>
      <c r="C181">
        <v>27243479</v>
      </c>
      <c r="D181">
        <v>9415249</v>
      </c>
      <c r="E181">
        <v>1</v>
      </c>
      <c r="F181">
        <v>1</v>
      </c>
      <c r="G181">
        <v>1</v>
      </c>
      <c r="H181">
        <v>1</v>
      </c>
      <c r="I181" t="s">
        <v>434</v>
      </c>
      <c r="K181" t="s">
        <v>435</v>
      </c>
      <c r="L181">
        <v>1369</v>
      </c>
      <c r="N181">
        <v>1013</v>
      </c>
      <c r="O181" t="s">
        <v>258</v>
      </c>
      <c r="P181" t="s">
        <v>258</v>
      </c>
      <c r="Q181">
        <v>1</v>
      </c>
      <c r="X181">
        <v>35.39</v>
      </c>
      <c r="Y181">
        <v>0</v>
      </c>
      <c r="Z181">
        <v>0</v>
      </c>
      <c r="AA181">
        <v>0</v>
      </c>
      <c r="AB181">
        <v>8.02</v>
      </c>
      <c r="AC181">
        <v>0</v>
      </c>
      <c r="AD181">
        <v>1</v>
      </c>
      <c r="AE181">
        <v>1</v>
      </c>
      <c r="AG181">
        <v>35.39</v>
      </c>
      <c r="AH181">
        <v>2</v>
      </c>
      <c r="AI181">
        <v>27243480</v>
      </c>
      <c r="AJ181">
        <v>152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ROW(Source!A84)</f>
        <v>84</v>
      </c>
      <c r="B182">
        <v>27243487</v>
      </c>
      <c r="C182">
        <v>27243479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23</v>
      </c>
      <c r="K182" t="s">
        <v>276</v>
      </c>
      <c r="L182">
        <v>608254</v>
      </c>
      <c r="N182">
        <v>1013</v>
      </c>
      <c r="O182" t="s">
        <v>277</v>
      </c>
      <c r="P182" t="s">
        <v>277</v>
      </c>
      <c r="Q182">
        <v>1</v>
      </c>
      <c r="X182">
        <v>0.43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G182">
        <v>0.43</v>
      </c>
      <c r="AH182">
        <v>2</v>
      </c>
      <c r="AI182">
        <v>27243481</v>
      </c>
      <c r="AJ182">
        <v>153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ROW(Source!A84)</f>
        <v>84</v>
      </c>
      <c r="B183">
        <v>27243488</v>
      </c>
      <c r="C183">
        <v>27243479</v>
      </c>
      <c r="D183">
        <v>24262159</v>
      </c>
      <c r="E183">
        <v>1</v>
      </c>
      <c r="F183">
        <v>1</v>
      </c>
      <c r="G183">
        <v>1</v>
      </c>
      <c r="H183">
        <v>2</v>
      </c>
      <c r="I183" t="s">
        <v>281</v>
      </c>
      <c r="J183" t="s">
        <v>282</v>
      </c>
      <c r="K183" t="s">
        <v>283</v>
      </c>
      <c r="L183">
        <v>1368</v>
      </c>
      <c r="N183">
        <v>1011</v>
      </c>
      <c r="O183" t="s">
        <v>262</v>
      </c>
      <c r="P183" t="s">
        <v>262</v>
      </c>
      <c r="Q183">
        <v>1</v>
      </c>
      <c r="X183">
        <v>0.2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G183">
        <v>0.2</v>
      </c>
      <c r="AH183">
        <v>2</v>
      </c>
      <c r="AI183">
        <v>27243482</v>
      </c>
      <c r="AJ183">
        <v>154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ROW(Source!A84)</f>
        <v>84</v>
      </c>
      <c r="B184">
        <v>27243489</v>
      </c>
      <c r="C184">
        <v>27243479</v>
      </c>
      <c r="D184">
        <v>24312004</v>
      </c>
      <c r="E184">
        <v>1</v>
      </c>
      <c r="F184">
        <v>1</v>
      </c>
      <c r="G184">
        <v>1</v>
      </c>
      <c r="H184">
        <v>2</v>
      </c>
      <c r="I184" t="s">
        <v>411</v>
      </c>
      <c r="J184" t="s">
        <v>436</v>
      </c>
      <c r="K184" t="s">
        <v>413</v>
      </c>
      <c r="L184">
        <v>1368</v>
      </c>
      <c r="N184">
        <v>1011</v>
      </c>
      <c r="O184" t="s">
        <v>262</v>
      </c>
      <c r="P184" t="s">
        <v>262</v>
      </c>
      <c r="Q184">
        <v>1</v>
      </c>
      <c r="X184">
        <v>0.23</v>
      </c>
      <c r="Y184">
        <v>0</v>
      </c>
      <c r="Z184">
        <v>31.26</v>
      </c>
      <c r="AA184">
        <v>13.5</v>
      </c>
      <c r="AB184">
        <v>0</v>
      </c>
      <c r="AC184">
        <v>0</v>
      </c>
      <c r="AD184">
        <v>1</v>
      </c>
      <c r="AE184">
        <v>0</v>
      </c>
      <c r="AG184">
        <v>0.23</v>
      </c>
      <c r="AH184">
        <v>2</v>
      </c>
      <c r="AI184">
        <v>27243483</v>
      </c>
      <c r="AJ184">
        <v>155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ROW(Source!A84)</f>
        <v>84</v>
      </c>
      <c r="B185">
        <v>27243490</v>
      </c>
      <c r="C185">
        <v>27243479</v>
      </c>
      <c r="D185">
        <v>24306950</v>
      </c>
      <c r="E185">
        <v>1</v>
      </c>
      <c r="F185">
        <v>1</v>
      </c>
      <c r="G185">
        <v>1</v>
      </c>
      <c r="H185">
        <v>3</v>
      </c>
      <c r="I185" t="s">
        <v>437</v>
      </c>
      <c r="J185" t="s">
        <v>438</v>
      </c>
      <c r="K185" t="s">
        <v>439</v>
      </c>
      <c r="L185">
        <v>1339</v>
      </c>
      <c r="N185">
        <v>1007</v>
      </c>
      <c r="O185" t="s">
        <v>302</v>
      </c>
      <c r="P185" t="s">
        <v>302</v>
      </c>
      <c r="Q185">
        <v>1</v>
      </c>
      <c r="X185">
        <v>0.253</v>
      </c>
      <c r="Y185">
        <v>519.8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0.253</v>
      </c>
      <c r="AH185">
        <v>2</v>
      </c>
      <c r="AI185">
        <v>27243484</v>
      </c>
      <c r="AJ185">
        <v>156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ROW(Source!A84)</f>
        <v>84</v>
      </c>
      <c r="B186">
        <v>27243491</v>
      </c>
      <c r="C186">
        <v>27243479</v>
      </c>
      <c r="D186">
        <v>24315004</v>
      </c>
      <c r="E186">
        <v>1</v>
      </c>
      <c r="F186">
        <v>1</v>
      </c>
      <c r="G186">
        <v>1</v>
      </c>
      <c r="H186">
        <v>3</v>
      </c>
      <c r="I186" t="s">
        <v>440</v>
      </c>
      <c r="J186" t="s">
        <v>441</v>
      </c>
      <c r="K186" t="s">
        <v>442</v>
      </c>
      <c r="L186">
        <v>1356</v>
      </c>
      <c r="N186">
        <v>1010</v>
      </c>
      <c r="O186" t="s">
        <v>443</v>
      </c>
      <c r="P186" t="s">
        <v>443</v>
      </c>
      <c r="Q186">
        <v>1000</v>
      </c>
      <c r="X186">
        <v>0.402</v>
      </c>
      <c r="Y186">
        <v>1752.6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0.402</v>
      </c>
      <c r="AH186">
        <v>2</v>
      </c>
      <c r="AI186">
        <v>27243485</v>
      </c>
      <c r="AJ186">
        <v>157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ROW(Source!A84)</f>
        <v>84</v>
      </c>
      <c r="B187">
        <v>27243492</v>
      </c>
      <c r="C187">
        <v>27243479</v>
      </c>
      <c r="D187">
        <v>24262983</v>
      </c>
      <c r="E187">
        <v>1</v>
      </c>
      <c r="F187">
        <v>1</v>
      </c>
      <c r="G187">
        <v>1</v>
      </c>
      <c r="H187">
        <v>3</v>
      </c>
      <c r="I187" t="s">
        <v>530</v>
      </c>
      <c r="J187" t="s">
        <v>531</v>
      </c>
      <c r="K187" t="s">
        <v>532</v>
      </c>
      <c r="L187">
        <v>1339</v>
      </c>
      <c r="N187">
        <v>1007</v>
      </c>
      <c r="O187" t="s">
        <v>302</v>
      </c>
      <c r="P187" t="s">
        <v>302</v>
      </c>
      <c r="Q187">
        <v>1</v>
      </c>
      <c r="X187">
        <v>0.044</v>
      </c>
      <c r="Y187">
        <v>2.44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0.044</v>
      </c>
      <c r="AH187">
        <v>3</v>
      </c>
      <c r="AI187">
        <v>-1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ROW(Source!A86)</f>
        <v>86</v>
      </c>
      <c r="B188">
        <v>27243498</v>
      </c>
      <c r="C188">
        <v>27243495</v>
      </c>
      <c r="D188">
        <v>121548</v>
      </c>
      <c r="E188">
        <v>1</v>
      </c>
      <c r="F188">
        <v>1</v>
      </c>
      <c r="G188">
        <v>1</v>
      </c>
      <c r="H188">
        <v>1</v>
      </c>
      <c r="I188" t="s">
        <v>23</v>
      </c>
      <c r="K188" t="s">
        <v>276</v>
      </c>
      <c r="L188">
        <v>608254</v>
      </c>
      <c r="N188">
        <v>1013</v>
      </c>
      <c r="O188" t="s">
        <v>277</v>
      </c>
      <c r="P188" t="s">
        <v>277</v>
      </c>
      <c r="Q188">
        <v>1</v>
      </c>
      <c r="X188">
        <v>0.024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2</v>
      </c>
      <c r="AG188">
        <v>0.024</v>
      </c>
      <c r="AH188">
        <v>2</v>
      </c>
      <c r="AI188">
        <v>27243496</v>
      </c>
      <c r="AJ188">
        <v>159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ROW(Source!A86)</f>
        <v>86</v>
      </c>
      <c r="B189">
        <v>27243499</v>
      </c>
      <c r="C189">
        <v>27243495</v>
      </c>
      <c r="D189">
        <v>1467629</v>
      </c>
      <c r="E189">
        <v>1</v>
      </c>
      <c r="F189">
        <v>1</v>
      </c>
      <c r="G189">
        <v>1</v>
      </c>
      <c r="H189">
        <v>2</v>
      </c>
      <c r="I189" t="s">
        <v>424</v>
      </c>
      <c r="J189" t="s">
        <v>425</v>
      </c>
      <c r="K189" t="s">
        <v>426</v>
      </c>
      <c r="L189">
        <v>1480</v>
      </c>
      <c r="N189">
        <v>1013</v>
      </c>
      <c r="O189" t="s">
        <v>427</v>
      </c>
      <c r="P189" t="s">
        <v>428</v>
      </c>
      <c r="Q189">
        <v>1</v>
      </c>
      <c r="X189">
        <v>0.024</v>
      </c>
      <c r="Y189">
        <v>0</v>
      </c>
      <c r="Z189">
        <v>125.7</v>
      </c>
      <c r="AA189">
        <v>13.5</v>
      </c>
      <c r="AB189">
        <v>0</v>
      </c>
      <c r="AC189">
        <v>0</v>
      </c>
      <c r="AD189">
        <v>1</v>
      </c>
      <c r="AE189">
        <v>0</v>
      </c>
      <c r="AG189">
        <v>0.024</v>
      </c>
      <c r="AH189">
        <v>2</v>
      </c>
      <c r="AI189">
        <v>27243497</v>
      </c>
      <c r="AJ189">
        <v>160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SolovyovIN</cp:lastModifiedBy>
  <cp:lastPrinted>2017-08-09T07:01:17Z</cp:lastPrinted>
  <dcterms:modified xsi:type="dcterms:W3CDTF">2017-08-17T06:57:33Z</dcterms:modified>
  <cp:category/>
  <cp:version/>
  <cp:contentType/>
  <cp:contentStatus/>
</cp:coreProperties>
</file>