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5" activeTab="0"/>
  </bookViews>
  <sheets>
    <sheet name="Смета в текущих ценах(14гр" sheetId="1" r:id="rId1"/>
    <sheet name="RV_DATA" sheetId="2" state="hidden" r:id="rId2"/>
    <sheet name="Расчет стоимости ресурсов" sheetId="3" r:id="rId3"/>
    <sheet name="Дефектная ведомость" sheetId="4" r:id="rId4"/>
    <sheet name="Source" sheetId="5" r:id="rId5"/>
    <sheet name="SourceObSm" sheetId="6" r:id="rId6"/>
    <sheet name="SmtRes" sheetId="7" r:id="rId7"/>
    <sheet name="EtalonRes" sheetId="8" r:id="rId8"/>
  </sheets>
  <externalReferences>
    <externalReference r:id="rId11"/>
  </externalReferences>
  <definedNames>
    <definedName name="_xlfn.COUNTIFS" hidden="1">#NAME?</definedName>
    <definedName name="_xlnm.Print_Titles" localSheetId="3">'Дефектная ведомость'!$18:$18</definedName>
    <definedName name="_xlnm.Print_Titles" localSheetId="2">'Расчет стоимости ресурсов'!$4:$7</definedName>
    <definedName name="_xlnm.Print_Titles" localSheetId="0">'Смета в текущих ценах(14гр'!$14:$14</definedName>
    <definedName name="_xlnm.Print_Area" localSheetId="3">'Дефектная ведомость'!$A$1:$E$56</definedName>
    <definedName name="_xlnm.Print_Area" localSheetId="2">'Расчет стоимости ресурсов'!$A$1:$F$76</definedName>
    <definedName name="_xlnm.Print_Area" localSheetId="0">'Смета в текущих ценах(14гр'!$A$1:$N$332</definedName>
  </definedNames>
  <calcPr fullCalcOnLoad="1"/>
</workbook>
</file>

<file path=xl/sharedStrings.xml><?xml version="1.0" encoding="utf-8"?>
<sst xmlns="http://schemas.openxmlformats.org/spreadsheetml/2006/main" count="4613" uniqueCount="810">
  <si>
    <t>Smeta.RU  (495) 974-1589</t>
  </si>
  <si>
    <t>_PS_</t>
  </si>
  <si>
    <t>Smeta.RU</t>
  </si>
  <si>
    <t/>
  </si>
  <si>
    <t>Новый объект</t>
  </si>
  <si>
    <t>изоляция</t>
  </si>
  <si>
    <t>Сметные нормы списания</t>
  </si>
  <si>
    <t>Коды ценников</t>
  </si>
  <si>
    <t>Версия 7.0.0.14 от 02.08.2012: для ФЕР, с п.3757-КК/08, п.6056-ИП/08,п.10753-ВТ/08 и п.15127-ИП/08 (Кап. ремонт жилых / общ. зд.): Центральные регионы: Текущие цены</t>
  </si>
  <si>
    <t>ГЭСН-2001</t>
  </si>
  <si>
    <t>Поправки  для НБ 2001 года  в ред. 2009 года от 29.03.2011</t>
  </si>
  <si>
    <t>Участок изоляции+тамбур</t>
  </si>
  <si>
    <t>1</t>
  </si>
  <si>
    <t>10-06-040-2</t>
  </si>
  <si>
    <t>Устройство подвесных потолков из гипсоволокнистых листов (ГВЛ) по системе «КНАУФ» одноуровневых (П 213)</t>
  </si>
  <si>
    <t>100 м2 потолка</t>
  </si>
  <si>
    <t>ФЕР 10-06-040-2 пр.№31/пр от 30.01.2014 г.</t>
  </si>
  <si>
    <t>*1,25</t>
  </si>
  <si>
    <t>*1,15</t>
  </si>
  <si>
    <t>=90,27</t>
  </si>
  <si>
    <t>=42,84</t>
  </si>
  <si>
    <t>Общестроительные работы</t>
  </si>
  <si>
    <t>Деревянные конструкции</t>
  </si>
  <si>
    <t>ФЕР-10</t>
  </si>
  <si>
    <t>*0,9</t>
  </si>
  <si>
    <t>*0,85</t>
  </si>
  <si>
    <t>2</t>
  </si>
  <si>
    <t>10-01-022-3</t>
  </si>
  <si>
    <t>Подшивка потолков листами ГВЛВ</t>
  </si>
  <si>
    <t>100 м2</t>
  </si>
  <si>
    <t>ГЭСН, сб.10,гл.01,табл.022,поз.3</t>
  </si>
  <si>
    <t>100 м2 потолков</t>
  </si>
  <si>
    <t>3</t>
  </si>
  <si>
    <t>26-01-039-1</t>
  </si>
  <si>
    <t>Изоляция покрытий и перекрытий изделиями из волокнистых и зернистых материалов насухо</t>
  </si>
  <si>
    <t>1 м3 изоляции</t>
  </si>
  <si>
    <t>ГЭСН 26-01-039-1 пр.№31/пр от 30.01.2014 г.</t>
  </si>
  <si>
    <t>=76,5</t>
  </si>
  <si>
    <t>=47,6</t>
  </si>
  <si>
    <t>Теплоизоляционные работы</t>
  </si>
  <si>
    <t>ФЕР-26</t>
  </si>
  <si>
    <t>4</t>
  </si>
  <si>
    <t>26-01-055-2</t>
  </si>
  <si>
    <t>Установка пароизоляционного слоя в 2 слоя</t>
  </si>
  <si>
    <t>100 м2 поверхности покрытия изоляции</t>
  </si>
  <si>
    <t>ГЭСН 26-01-055-2 пр.№31/пр от 30.01.2014 г.</t>
  </si>
  <si>
    <t>*2</t>
  </si>
  <si>
    <t>*1,25*2</t>
  </si>
  <si>
    <t>*1,15*2</t>
  </si>
  <si>
    <t>5</t>
  </si>
  <si>
    <t>15-04-006-1</t>
  </si>
  <si>
    <t>Покрытие поверхностей грунтовкой глубокого проникновения за 1 раз потолков</t>
  </si>
  <si>
    <t>100 м2 покрытия</t>
  </si>
  <si>
    <t>ГЭСН 15-04-006-1 пр.№31/пр от 30.01.2014 г.</t>
  </si>
  <si>
    <t>=80,33</t>
  </si>
  <si>
    <t>=37,4</t>
  </si>
  <si>
    <t>Отделочные работы</t>
  </si>
  <si>
    <t>ФЕР-15</t>
  </si>
  <si>
    <t>6</t>
  </si>
  <si>
    <t>62-27-2</t>
  </si>
  <si>
    <t>Сплошная шпаклевка ранее оштукатуренных поверхностей за 2 раза</t>
  </si>
  <si>
    <t>100 м2 ошпаклеванной поверхности</t>
  </si>
  <si>
    <t>ФЕРр 62-27-2 пр.№31/пр от 30.01.2014 г.</t>
  </si>
  <si>
    <t>*0,8</t>
  </si>
  <si>
    <t>Ремонтно-строительные работы</t>
  </si>
  <si>
    <t>Малярные работы</t>
  </si>
  <si>
    <t>ФЕРр-62</t>
  </si>
  <si>
    <t>7</t>
  </si>
  <si>
    <t>15-04-005-2</t>
  </si>
  <si>
    <t>Окраска потолков краской ХВ-785</t>
  </si>
  <si>
    <t>100 м2 окрашиваемой поверхности</t>
  </si>
  <si>
    <t>ФЕР 15-04-005-2 пр.№31/пр от 30.01.2014 г.</t>
  </si>
  <si>
    <t>8</t>
  </si>
  <si>
    <t>15-04-006-03</t>
  </si>
  <si>
    <t>Покрытие поверхностей грунтовкой глубокого проникновения за 1 раз стен</t>
  </si>
  <si>
    <t>ГЭСН15-04-006-3 пр.№253 от 17 ноября 2008 г</t>
  </si>
  <si>
    <t>9</t>
  </si>
  <si>
    <t>10-02-025-1</t>
  </si>
  <si>
    <t>Установка маячных реек</t>
  </si>
  <si>
    <t>ФЕР 10-02-025-1 пр.№31/пр от 30.01.2014 г.</t>
  </si>
  <si>
    <t>10</t>
  </si>
  <si>
    <t>61-28-1</t>
  </si>
  <si>
    <t>Устройство основания под штукатурку из металлической сетки по кирпичным и бетонным поверхностям</t>
  </si>
  <si>
    <t>100 м2 поверхности</t>
  </si>
  <si>
    <t>ФЕРр 61-28-1 пр.№31/пр от 30.01.2014 г.</t>
  </si>
  <si>
    <t>=67,15</t>
  </si>
  <si>
    <t>=40</t>
  </si>
  <si>
    <t>Штукатрурные работы</t>
  </si>
  <si>
    <t>ФЕРр-61</t>
  </si>
  <si>
    <t>11</t>
  </si>
  <si>
    <t>15-02-016-1  к=2 п. 1.15.5</t>
  </si>
  <si>
    <t>Штукатурка поверхностей внутри здания цементно-известковым или цементным раствором по камню и бетону простая стен</t>
  </si>
  <si>
    <t>100 м2 оштукатуриваемой поверхности</t>
  </si>
  <si>
    <t>ФЕР 15-02-016-1 пр.№31/пр от 30.01.2014 г.</t>
  </si>
  <si>
    <t>12</t>
  </si>
  <si>
    <t>06-01-083-7</t>
  </si>
  <si>
    <t>Приготовление отделочных растворов</t>
  </si>
  <si>
    <t>100 М3 РАСТВОРА</t>
  </si>
  <si>
    <t>ГЭСН06-01-083-7 пр.№253 от 17 ноября 2008 г</t>
  </si>
  <si>
    <t>=56,1</t>
  </si>
  <si>
    <t>=32</t>
  </si>
  <si>
    <t>Приготовление бетонов и растворов в построечных условиях ( строительство СП=65%  ( ремонт  СП= 50% ,при {_СП_РЕМ}=0,85 ) )</t>
  </si>
  <si>
    <t>ФЕР-06</t>
  </si>
  <si>
    <t>13</t>
  </si>
  <si>
    <t>15-01-019-5</t>
  </si>
  <si>
    <t>Гладкая облицовка стен керамической плиткой на клее из сухих смесей по кирпичу и бетону</t>
  </si>
  <si>
    <t>100 м2 поверхности облицовки</t>
  </si>
  <si>
    <t>ФЕР 15-01-019-5 пр.№31/пр от 30.01.2014 г.</t>
  </si>
  <si>
    <t>14</t>
  </si>
  <si>
    <t>15-04-006-3</t>
  </si>
  <si>
    <t>15</t>
  </si>
  <si>
    <t>15-02-019-3</t>
  </si>
  <si>
    <t>Сплошное выравнивание внутренних поверхностей (однослойное оштукатуривание)из сухих растворных смесей толщиной до 10 мм стен</t>
  </si>
  <si>
    <t>ФЕР 15-02-019-3 пр.№31/пр от 30.01.2014 г.</t>
  </si>
  <si>
    <t>16</t>
  </si>
  <si>
    <t>61-7-1</t>
  </si>
  <si>
    <t>Ремонт штукатурки откосов внутри здания по камню и бетону цементно-известковым раствором прямолинейных</t>
  </si>
  <si>
    <t>100 м2 отремонтированной поверхности</t>
  </si>
  <si>
    <t>ГЭСНр61-7-1 пр.№207 от 13 октября 2008 г</t>
  </si>
  <si>
    <t>17</t>
  </si>
  <si>
    <t>18</t>
  </si>
  <si>
    <t>62-27-1</t>
  </si>
  <si>
    <t>Шпаклевка откосов за 2 раза</t>
  </si>
  <si>
    <t>ГЭСНр 62-27-1 пр.№31/пр от 30.01.2014 г.</t>
  </si>
  <si>
    <t>=68</t>
  </si>
  <si>
    <t>19</t>
  </si>
  <si>
    <t>15-04-006-4</t>
  </si>
  <si>
    <t>Грунтовка откосов за 2 раза</t>
  </si>
  <si>
    <t>ГЭСН15-04-006-4 пр.№253 от 17 ноября 2008 г</t>
  </si>
  <si>
    <t>20</t>
  </si>
  <si>
    <t>10-01-035-1</t>
  </si>
  <si>
    <t>Установка подоконных досок из ПВХ в каменных стенах толщиной до 0,51 м</t>
  </si>
  <si>
    <t>100 п. м</t>
  </si>
  <si>
    <t>ГЭСН10-01-035-1 пр.№81 от 27 февраля 2010 г</t>
  </si>
  <si>
    <t>21</t>
  </si>
  <si>
    <t>Окраска стен  краской ХВ-785</t>
  </si>
  <si>
    <t>22</t>
  </si>
  <si>
    <t>46-04-003-5</t>
  </si>
  <si>
    <t>Разборка бетонных полов толщиной  250 мм</t>
  </si>
  <si>
    <t>1 м3</t>
  </si>
  <si>
    <t>ФЕР 46-04-003-5 пр.№31/пр от 30.01.2014 г.</t>
  </si>
  <si>
    <t>=93,5</t>
  </si>
  <si>
    <t>=56</t>
  </si>
  <si>
    <t>Реконструкция зданий и сооружений</t>
  </si>
  <si>
    <t>ФЕР-46</t>
  </si>
  <si>
    <t>23</t>
  </si>
  <si>
    <t>11-01-014-4</t>
  </si>
  <si>
    <t>Устройство полов бетонных толщиной 250 мм</t>
  </si>
  <si>
    <t>100 м2 пола</t>
  </si>
  <si>
    <t>ФЕР 11-01-014-4 пр.№31/пр от 30.01.2014 г.</t>
  </si>
  <si>
    <t>=94,1</t>
  </si>
  <si>
    <t>=51</t>
  </si>
  <si>
    <t>Полы</t>
  </si>
  <si>
    <t>ФЕР-11</t>
  </si>
  <si>
    <t>24</t>
  </si>
  <si>
    <t>13-05-002-4</t>
  </si>
  <si>
    <t>Оклейка бетонной поверхности полиизобутиленовыми пластинами толщиной 2,5 мм на клее 88-СА со сваркой листов в 2 слоя</t>
  </si>
  <si>
    <t>1 м2 оклеиваемой поверхности</t>
  </si>
  <si>
    <t>ФЕР 13-05-002-4 пр.№31/пр от 30.01.2014 г.</t>
  </si>
  <si>
    <t>=68,85</t>
  </si>
  <si>
    <t>Защита строительных конструкций</t>
  </si>
  <si>
    <t>ФЕР-13</t>
  </si>
  <si>
    <t>25</t>
  </si>
  <si>
    <t>13-01-005-1</t>
  </si>
  <si>
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</si>
  <si>
    <t>1 м2 площади футеровки</t>
  </si>
  <si>
    <t>ФЕР 13-01-005-1 пр.№31/пр от 30.01.2014 г.</t>
  </si>
  <si>
    <t>26</t>
  </si>
  <si>
    <t>13-08-005-1</t>
  </si>
  <si>
    <t>Разделка швов футеровки эпоксидной замазкой при укладке плитки кислотоупорной керамической, глубина заполнения швов 15 мм</t>
  </si>
  <si>
    <t>1 м2 разделываемой поверхности</t>
  </si>
  <si>
    <t>ФЕР 13-08-005-1 пр.№31/пр от 30.01.2014 г.</t>
  </si>
  <si>
    <t>27</t>
  </si>
  <si>
    <t>46-04-012-3</t>
  </si>
  <si>
    <t>Разборка деревянных заполнений проемов дверных</t>
  </si>
  <si>
    <t>ГЭСН 46-04-012-3 пр.№31/пр от 30.01.2014 г.</t>
  </si>
  <si>
    <t>28</t>
  </si>
  <si>
    <t>09-04-013-2</t>
  </si>
  <si>
    <t>Установка противопожарных дверей двупольных глухих</t>
  </si>
  <si>
    <t>1 м2 проема</t>
  </si>
  <si>
    <t>ГЭСН09-04-013-2 пр.№253 от 17 ноября 2008 г</t>
  </si>
  <si>
    <t>=57,8</t>
  </si>
  <si>
    <t>Металло-конструкции</t>
  </si>
  <si>
    <t>ФЕР-09</t>
  </si>
  <si>
    <t>29</t>
  </si>
  <si>
    <t>08-07-002-1</t>
  </si>
  <si>
    <t>Установка и разборка внутренних трубчатых инвентарных лесов при высоте помещений до 6 м</t>
  </si>
  <si>
    <t>100 м2 горизонтальной проекции</t>
  </si>
  <si>
    <t>ГЭСН08-07-002-1 пр.№253 от 17 ноября 2008 г</t>
  </si>
  <si>
    <t>=93,33</t>
  </si>
  <si>
    <t>=54,4</t>
  </si>
  <si>
    <t>Конструкции из кирпича и блоков</t>
  </si>
  <si>
    <t>ФЕР-08</t>
  </si>
  <si>
    <t>30</t>
  </si>
  <si>
    <t>69-9-1</t>
  </si>
  <si>
    <t>Очистка помещений от строительного мусора</t>
  </si>
  <si>
    <t>100 т мусора</t>
  </si>
  <si>
    <t>ГЭСНр69-9-1 пр.№207 от 13 октября 2008 г</t>
  </si>
  <si>
    <t>Прочие ремонтно-строительные работы</t>
  </si>
  <si>
    <t>ФЕРр-69</t>
  </si>
  <si>
    <t>31</t>
  </si>
  <si>
    <t>ФСЦП 311-01-148-1</t>
  </si>
  <si>
    <t>Погрузка: Мусор   строительный   с   погрузкой   экскаваторами емкостью ковша до 0,5мЗ</t>
  </si>
  <si>
    <t>т</t>
  </si>
  <si>
    <t>ФССЦ ч.1, сб.311,гл.01,табл.148-1</t>
  </si>
  <si>
    <t>=85</t>
  </si>
  <si>
    <t>=48</t>
  </si>
  <si>
    <t>Погрузочно-разгрузочные работы</t>
  </si>
  <si>
    <t>ФССЦ а/п</t>
  </si>
  <si>
    <t>32</t>
  </si>
  <si>
    <t>ФСЦП 310-3021-1</t>
  </si>
  <si>
    <t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t>
  </si>
  <si>
    <t>ТЕРт Марий Эл (ред. 2009г.) сб.310, табл.2020-1</t>
  </si>
  <si>
    <t>Перевозка, тара и упаковка</t>
  </si>
  <si>
    <t>Перевозка грузов автомобильным транспортом</t>
  </si>
  <si>
    <t>авто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</si>
  <si>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</si>
  <si>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</si>
  <si>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</si>
  <si>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</si>
  <si>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</si>
  <si>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</si>
  <si>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</si>
  <si>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</si>
  <si>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</si>
  <si>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</si>
  <si>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</si>
  <si>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</si>
  <si>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</si>
  <si>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</si>
  <si>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</si>
  <si>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</si>
  <si>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</si>
  <si>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</si>
  <si>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</si>
  <si>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</si>
  <si>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</si>
  <si>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</si>
  <si>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</si>
  <si>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</si>
  <si>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</si>
  <si>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</si>
  <si>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</si>
  <si>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</si>
  <si>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</si>
  <si>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</si>
  <si>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</si>
  <si>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</si>
  <si>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</si>
  <si>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</si>
  <si>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</si>
  <si>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</si>
  <si>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</si>
  <si>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</si>
  <si>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</si>
  <si>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</si>
  <si>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</si>
  <si>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</si>
  <si>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</si>
  <si>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</si>
  <si>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</si>
  <si>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</si>
  <si>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</t>
  </si>
  <si>
    <t>Итого</t>
  </si>
  <si>
    <t>мат</t>
  </si>
  <si>
    <t>Стомость материальных ресурсов</t>
  </si>
  <si>
    <t>тра</t>
  </si>
  <si>
    <t>Автотранспорт 7%</t>
  </si>
  <si>
    <t>все</t>
  </si>
  <si>
    <t>Итого по смете</t>
  </si>
  <si>
    <t>111</t>
  </si>
  <si>
    <t>НДС 18%</t>
  </si>
  <si>
    <t>11111</t>
  </si>
  <si>
    <t>Всего по смете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</si>
  <si>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</si>
  <si>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</si>
  <si>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</si>
  <si>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</si>
  <si>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</si>
  <si>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</si>
  <si>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</si>
  <si>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</si>
  <si>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</si>
  <si>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М_ГОР_опт</t>
  </si>
  <si>
    <t>Прокладка городских/междугородных волоконно-оптических сетей связи (монтаж оборудования 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</si>
  <si>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</si>
  <si>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</si>
  <si>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</si>
  <si>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</si>
  <si>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</si>
  <si>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</si>
  <si>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</si>
  <si>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</t>
  </si>
  <si>
    <t>Упрощенное налогообложение 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</si>
  <si>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</si>
  <si>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</si>
  <si>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</si>
  <si>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</si>
  <si>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мАВИА</t>
  </si>
  <si>
    <t>При работах по диспечеризации управления движением авиа/траспортом ( монтаж оборудования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</si>
  <si>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</si>
  <si>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мАЭС</t>
  </si>
  <si>
    <t>При работах на АЭС ( монтаж оборудования )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</si>
  <si>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</si>
  <si>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_МДСрем_НР</t>
  </si>
  <si>
    <t>Коэфф. 0,90    к НР при ремонте жилых и общ. зд.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</si>
  <si>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</si>
  <si>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_МДСрем_СП</t>
  </si>
  <si>
    <t>Коэфф. 0,85    к СП при ремонте зданий и сооруженй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</si>
  <si>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</si>
  <si>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_ТЕК_НР</t>
  </si>
  <si>
    <t>Коэфф. 0,85    к НР для текущего уровня цен с 01.01.2011 при  обычной системе налогообложения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</si>
  <si>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</si>
  <si>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_ТЕК_СП</t>
  </si>
  <si>
    <t>Коэфф. 0,80    к СП для текущего уровня цен с 01.01.2011 при  обычной системе налогообложения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</si>
  <si>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</si>
  <si>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</si>
  <si>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</si>
  <si>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</si>
  <si>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Уровень цен</t>
  </si>
  <si>
    <t>_OBSM_</t>
  </si>
  <si>
    <t>1-1035</t>
  </si>
  <si>
    <t>Рабочий строитель среднего разряда 3,5</t>
  </si>
  <si>
    <t>чел.-ч</t>
  </si>
  <si>
    <t>134041</t>
  </si>
  <si>
    <t>ФСЭМ 134041 пр.№31/пр от 30.01.2014 г.</t>
  </si>
  <si>
    <t>Шуруповерт</t>
  </si>
  <si>
    <t>маш.-ч</t>
  </si>
  <si>
    <t>330901</t>
  </si>
  <si>
    <t>ФСЭМ 330901 пр.№31/пр от 30.01.2014 г.</t>
  </si>
  <si>
    <t>Ножницы электрические</t>
  </si>
  <si>
    <t>331451</t>
  </si>
  <si>
    <t>ФСЭМ 331451 пр.№31/пр от 30.01.2014 г.</t>
  </si>
  <si>
    <t>Перфораторы электрические</t>
  </si>
  <si>
    <t>Лента серпянка 50 м</t>
  </si>
  <si>
    <t>ШТ</t>
  </si>
  <si>
    <t>Профиль ПГС 100С 1,0 мм</t>
  </si>
  <si>
    <t>м</t>
  </si>
  <si>
    <t>101-2430</t>
  </si>
  <si>
    <t>ФССЦ 101-2430 пр.№31/пр от 30.01.2014 г.</t>
  </si>
  <si>
    <t>Грунтовка «Тифенгрунд», КНАУФ</t>
  </si>
  <si>
    <t>кг</t>
  </si>
  <si>
    <t>101-2439</t>
  </si>
  <si>
    <t>ФССЦ 101-2439 пр.№31/пр от 30.01.2014 г.</t>
  </si>
  <si>
    <t>Шпаклевка гипсовая</t>
  </si>
  <si>
    <t>101-2515</t>
  </si>
  <si>
    <t>ФССЦ 101-2515 пр.№31/пр от 30.01.2014 г.</t>
  </si>
  <si>
    <t>Листы ГВЛВ</t>
  </si>
  <si>
    <t>м2</t>
  </si>
  <si>
    <t>101-2582</t>
  </si>
  <si>
    <t>ФССЦ 101-2582 пр.№31/пр от 30.01.2014 г.</t>
  </si>
  <si>
    <t>Шуруп самонарезающий (TN) 3,5*25 мм</t>
  </si>
  <si>
    <t>шт.</t>
  </si>
  <si>
    <t>101-2589</t>
  </si>
  <si>
    <t>ФССЦ 101-2589 пр.№31/пр от 30.01.2014 г.</t>
  </si>
  <si>
    <t>Дюбель-гвоздь6*80</t>
  </si>
  <si>
    <t>1-3.1</t>
  </si>
  <si>
    <t>Затраты труда рабочих, разряд работ 3.1</t>
  </si>
  <si>
    <t>Затраты труда машинистов</t>
  </si>
  <si>
    <t>чел.час</t>
  </si>
  <si>
    <t>331531</t>
  </si>
  <si>
    <t>ЦЭМ  сб.33,поз.1531</t>
  </si>
  <si>
    <t>Пила дисковая электрическая</t>
  </si>
  <si>
    <t>маш.ч</t>
  </si>
  <si>
    <t>МАШ.Ч</t>
  </si>
  <si>
    <t>Саморезы</t>
  </si>
  <si>
    <t>1-1037</t>
  </si>
  <si>
    <t>Рабочий строитель среднего разряда 3,7</t>
  </si>
  <si>
    <t>030403</t>
  </si>
  <si>
    <t>ФСЭМ 030403 пр.№31/пр от 30.01.2014 г.</t>
  </si>
  <si>
    <t>Лебедки электрические тяговым усилием 19,62 кН (2 т)</t>
  </si>
  <si>
    <t>400001</t>
  </si>
  <si>
    <t>ФСЭМ 400001 пр.№31/пр от 30.01.2014 г.</t>
  </si>
  <si>
    <t>Автомобили бортовые, грузоподъемность до 5 т</t>
  </si>
  <si>
    <t>104-9163</t>
  </si>
  <si>
    <t>ФССЦ 104-9163 пр.№31/пр от 30.01.2014 г.</t>
  </si>
  <si>
    <t>Изделия теплоизоляционные</t>
  </si>
  <si>
    <t>м3</t>
  </si>
  <si>
    <t>1-1032</t>
  </si>
  <si>
    <t>Рабочий строитель среднего разряда 3,2</t>
  </si>
  <si>
    <t>101-3594</t>
  </si>
  <si>
    <t>ФССЦ 101-3594 пр.№31/пр от 30.01.2014 г.</t>
  </si>
  <si>
    <t>Лента полиэтиленовая с липким слоем А50</t>
  </si>
  <si>
    <t>1 пересечение</t>
  </si>
  <si>
    <t>113-9462</t>
  </si>
  <si>
    <t>ФССЦ 113-9462 пр.№31/пр от 30.01.2014 г.</t>
  </si>
  <si>
    <t>Пароизоляция</t>
  </si>
  <si>
    <t>1-1040</t>
  </si>
  <si>
    <t>Рабочий строитель среднего разряда 4</t>
  </si>
  <si>
    <t>030954</t>
  </si>
  <si>
    <t>ФСЭМ 030954 пр.№31/пр от 30.01.2014 г.</t>
  </si>
  <si>
    <t>Подъемники грузоподъемностью до 500 кг одномачтовые, высота подъема 45 м</t>
  </si>
  <si>
    <t>101-1757</t>
  </si>
  <si>
    <t>ФССЦ 101-1757 пр.№31/пр от 30.01.2014 г.</t>
  </si>
  <si>
    <t>Ветошь</t>
  </si>
  <si>
    <t>101-9732</t>
  </si>
  <si>
    <t>ФССЦ 101-9732 пр.№31/пр от 30.01.2014 г.</t>
  </si>
  <si>
    <t>Грунтовка</t>
  </si>
  <si>
    <t>1-1030</t>
  </si>
  <si>
    <t>Рабочий строитель среднего разряда 3</t>
  </si>
  <si>
    <t>1-1034</t>
  </si>
  <si>
    <t>Рабочий строитель среднего разряда 3,4</t>
  </si>
  <si>
    <t>101-1596</t>
  </si>
  <si>
    <t>ФССЦ 101-1596 пр.№31/пр от 30.01.2014 г.</t>
  </si>
  <si>
    <t>Шкурка шлифовальная двухслойная с зернистостью 40-25</t>
  </si>
  <si>
    <t>101-1712</t>
  </si>
  <si>
    <t>ФССЦ 101-1712 пр.№31/пр от 30.01.2014 г.</t>
  </si>
  <si>
    <t>101-1959</t>
  </si>
  <si>
    <t>ФССЦ 101-1959 пр.№31/пр от 30.01.2014 г.</t>
  </si>
  <si>
    <t>Краска ХВ-785</t>
  </si>
  <si>
    <t>ФСЭМ (2009), сб.03,поз.0954</t>
  </si>
  <si>
    <t>ФССЦ (2010) ч.1, раздел01, поз.1757</t>
  </si>
  <si>
    <t>ФССЦ (2010) ч.1, раздел01, поз.9732</t>
  </si>
  <si>
    <t>1-1024</t>
  </si>
  <si>
    <t>Рабочий строитель среднего разряда 2,4</t>
  </si>
  <si>
    <t>Профиль перфорированный маячковый</t>
  </si>
  <si>
    <t>1-1020</t>
  </si>
  <si>
    <t>Рабочий строитель среднего разряда 2</t>
  </si>
  <si>
    <t>030401</t>
  </si>
  <si>
    <t>ФСЭМ 030401 пр.№31/пр от 30.01.2014 г.</t>
  </si>
  <si>
    <t>Лебедки электрические тяговым усилием до 5,79 кН (0,59 т)</t>
  </si>
  <si>
    <t>101-0874</t>
  </si>
  <si>
    <t>ФССЦ 101-0874 пр.№31/пр от 30.01.2014 г.</t>
  </si>
  <si>
    <t>Сетка тканая с квадратными ячейками № 05 без покрытия</t>
  </si>
  <si>
    <t>405-0219</t>
  </si>
  <si>
    <t>ФССЦ 405-0219 пр.№31/пр от 30.01.2014 г.</t>
  </si>
  <si>
    <t>Гипсовые вяжущие, марка Г3</t>
  </si>
  <si>
    <t>111500</t>
  </si>
  <si>
    <t>ФСЭМ 111500 пр.№31/пр от 30.01.2014 г.</t>
  </si>
  <si>
    <t>Растворонасосы 1 м3/ч</t>
  </si>
  <si>
    <t>101-0179</t>
  </si>
  <si>
    <t>ФССЦ 101-0179 пр.№31/пр от 30.01.2014 г.</t>
  </si>
  <si>
    <t>Гвозди строительные с плоской головкой 1,6x50 мм</t>
  </si>
  <si>
    <t>402-0083</t>
  </si>
  <si>
    <t>ФССЦ 402-0083 пр.№31/пр от 30.01.2014 г.</t>
  </si>
  <si>
    <t>Раствор готовый отделочный тяжелый, цементно-известковый 1:1:6</t>
  </si>
  <si>
    <t>030101</t>
  </si>
  <si>
    <t>ФСЭМ (2009), сб.03,поз.0101</t>
  </si>
  <si>
    <t>Автопогрузчики 5 т</t>
  </si>
  <si>
    <t>110902</t>
  </si>
  <si>
    <t>ФСЭМ (2009), сб.11,поз.0902</t>
  </si>
  <si>
    <t>Растворосмесители передвижные 250 л</t>
  </si>
  <si>
    <t>Штукатурка цементно-песчаная</t>
  </si>
  <si>
    <t>1-1036</t>
  </si>
  <si>
    <t>Рабочий строитель среднего разряда 3,6</t>
  </si>
  <si>
    <t>ФСЭМ 030101 пр.№31/пр от 30.01.2014 г.</t>
  </si>
  <si>
    <t>110901</t>
  </si>
  <si>
    <t>ФСЭМ 110901 пр.№31/пр от 30.01.2014 г.</t>
  </si>
  <si>
    <t>Растворосмесители передвижные 65 л</t>
  </si>
  <si>
    <t>101-0256</t>
  </si>
  <si>
    <t>ФССЦ 101-0256 пр.№31/пр от 30.01.2014 г.</t>
  </si>
  <si>
    <t>Плитки керамические глазурованные для внутренней облицовки стен гладкие без завала белые</t>
  </si>
  <si>
    <t>101-1776</t>
  </si>
  <si>
    <t>ФССЦ 101-1776 пр.№31/пр от 30.01.2014 г.</t>
  </si>
  <si>
    <t>Клей для облицовочных работ водостойкий «Плюс» (сухая смесь)</t>
  </si>
  <si>
    <t>402-0071</t>
  </si>
  <si>
    <t>ФССЦ 402-0071 пр.№31/пр от 30.01.2014 г.</t>
  </si>
  <si>
    <t>Смесь сухая (фуга) АТЛАС разных цветов для заделки швов водостойкая</t>
  </si>
  <si>
    <t>ФСЭМ (2009), сб.40,поз.0001</t>
  </si>
  <si>
    <t>Грунтовка бетон-контакт</t>
  </si>
  <si>
    <t>402-0070</t>
  </si>
  <si>
    <t>ФССЦ 402-0070 пр.№31/пр от 30.01.2014 г.</t>
  </si>
  <si>
    <t>Смесь штукатурная на гипсовой основе</t>
  </si>
  <si>
    <t>ФССЦ (2010) ч.4, раздел02, поз.0083</t>
  </si>
  <si>
    <t>509-9900</t>
  </si>
  <si>
    <t>ФССЦ (2010) ч.5, раздел09, поз.9900</t>
  </si>
  <si>
    <t>Строительный мусор</t>
  </si>
  <si>
    <t>Шпаклевка</t>
  </si>
  <si>
    <t>101-2388</t>
  </si>
  <si>
    <t>ФССЦ (2010) ч.1, раздел01, поз.2388</t>
  </si>
  <si>
    <t>Герметик пенополиуретановый (пена монтажная) типа Makrofleks, Soudal в баллонах по 750 мл</t>
  </si>
  <si>
    <t>101-9138</t>
  </si>
  <si>
    <t>ФССЦ (2010) ч.1, раздел01, поз.9138</t>
  </si>
  <si>
    <t>Доски подоконные ПВХ</t>
  </si>
  <si>
    <t>102-0303</t>
  </si>
  <si>
    <t>ФССЦ (2010) ч.1, раздел02, поз.0303</t>
  </si>
  <si>
    <t>Клинья пластиковые монтажные</t>
  </si>
  <si>
    <t>050101</t>
  </si>
  <si>
    <t>ФСЭМ 050101 пр.№31/пр от 30.01.2014 г.</t>
  </si>
  <si>
    <t>Компрессоры передвижные с двигателем внутреннего сгорания давлением до 686 кПа (7 ат), производительность  до 5 м3/мин</t>
  </si>
  <si>
    <t>330804</t>
  </si>
  <si>
    <t>ФСЭМ 330804 пр.№31/пр от 30.01.2014 г.</t>
  </si>
  <si>
    <t>Молотки при работе от передвижных компрессорных станций отбойные пневматические</t>
  </si>
  <si>
    <t>391602</t>
  </si>
  <si>
    <t>ФСЭМ 331801 пр.№31/пр от 30.01.2014 г.</t>
  </si>
  <si>
    <t>Автобетононасос</t>
  </si>
  <si>
    <t>Труба профильная 50*50*3</t>
  </si>
  <si>
    <t>102-0114</t>
  </si>
  <si>
    <t>ФССЦ 102-0114 пр.№31/пр от 30.01.2014 г.</t>
  </si>
  <si>
    <t>Доски обрезные хвойных пород длиной 2-3,75 м, шириной 75-150 мм, толщиной 25 мм, IV сорта</t>
  </si>
  <si>
    <t>401-0046</t>
  </si>
  <si>
    <t>ФССЦ 401-0046 пр.№31/пр от 30.01.2014 г.</t>
  </si>
  <si>
    <t>Бетон тяжелый, крупность заполнителя 40 мм, класс В15 (М200)</t>
  </si>
  <si>
    <t>1-1046</t>
  </si>
  <si>
    <t>Рабочий строитель среднего разряда 4,6</t>
  </si>
  <si>
    <t>333451</t>
  </si>
  <si>
    <t>ФСЭМ 333451 пр.№31/пр от 30.01.2014 г.</t>
  </si>
  <si>
    <t>Горелки электрические для сварки пластмасс</t>
  </si>
  <si>
    <t>101-0069</t>
  </si>
  <si>
    <t>ФССЦ 101-0069 пр.№31/пр от 30.01.2014 г.</t>
  </si>
  <si>
    <t>Бензин авиационный Б-70</t>
  </si>
  <si>
    <t>101-0329</t>
  </si>
  <si>
    <t>ФССЦ 101-0329 пр.№31/пр от 30.01.2014 г.</t>
  </si>
  <si>
    <t>Клей 88-СА</t>
  </si>
  <si>
    <t>113-0264</t>
  </si>
  <si>
    <t>ФССЦ 113-0264 пр.№31/пр от 30.01.2014 г.</t>
  </si>
  <si>
    <t>Эфир этиловый технический</t>
  </si>
  <si>
    <t>113-0360</t>
  </si>
  <si>
    <t>ФССЦ 113-0360 пр.№31/пр от 30.01.2014 г.</t>
  </si>
  <si>
    <t>Пластины полиизобутиленовые ПСГ</t>
  </si>
  <si>
    <t>331400</t>
  </si>
  <si>
    <t>ФСЭМ 331400 пр.№31/пр от 30.01.2014 г.</t>
  </si>
  <si>
    <t>Станок камнерезный универсальный</t>
  </si>
  <si>
    <t>101-2313</t>
  </si>
  <si>
    <t>ФССЦ 101-2313 пр.№31/пр от 30.01.2014 г.</t>
  </si>
  <si>
    <t>Натрий кремнефтористый технический, сорт I</t>
  </si>
  <si>
    <t>101-2319</t>
  </si>
  <si>
    <t>ФССЦ 101-2319 пр.№31/пр от 30.01.2014 г.</t>
  </si>
  <si>
    <t>Стекло натриевое жидкое каустическое</t>
  </si>
  <si>
    <t>113-0132</t>
  </si>
  <si>
    <t>ФССЦ 113-0132 пр.№31/пр от 30.01.2014 г.</t>
  </si>
  <si>
    <t>Плитки кислотоупорные шамотные квадратные и прямоугольные толщиной 35 мм</t>
  </si>
  <si>
    <t>113-0310</t>
  </si>
  <si>
    <t>ФССЦ 113-0310 пр.№31/пр от 30.01.2014 г.</t>
  </si>
  <si>
    <t>Порошок № 2 для кислотоупорной замазки</t>
  </si>
  <si>
    <t>113-0003</t>
  </si>
  <si>
    <t>ФССЦ 113-0003 пр.№31/пр от 30.01.2014 г.</t>
  </si>
  <si>
    <t>Ацетон технический, сорт I</t>
  </si>
  <si>
    <t>113-0152</t>
  </si>
  <si>
    <t>ФССЦ 113-0152 пр.№31/пр от 30.01.2014 г.</t>
  </si>
  <si>
    <t>Полиэтиленполиамин (ПЭПА) технический, марка А</t>
  </si>
  <si>
    <t>113-0163</t>
  </si>
  <si>
    <t>ФССЦ 113-0163 пр.№31/пр от 30.01.2014 г.</t>
  </si>
  <si>
    <t>Смола эпоксидная марки ЭД-20</t>
  </si>
  <si>
    <t>113-0338</t>
  </si>
  <si>
    <t>ФССЦ 113-0338 пр.№31/пр от 30.01.2014 г.</t>
  </si>
  <si>
    <t>Дибутилфталат технический, сорт I</t>
  </si>
  <si>
    <t>1-1043</t>
  </si>
  <si>
    <t>Рабочий строитель среднего разряда 4,3</t>
  </si>
  <si>
    <t>040502</t>
  </si>
  <si>
    <t>ФСЭМ (2009), сб.04,поз.0502</t>
  </si>
  <si>
    <t>Установки для сварки ручной дуговой (постоянного тока)</t>
  </si>
  <si>
    <t>ФСЭМ (2009), сб.13,поз.4041</t>
  </si>
  <si>
    <t>ФСЭМ (2009), сб.33,поз.1451</t>
  </si>
  <si>
    <t>Доводчик дверной</t>
  </si>
  <si>
    <t>101-1513</t>
  </si>
  <si>
    <t>ФССЦ (2010) ч.1, раздел01, поз.1513</t>
  </si>
  <si>
    <t>Электроды</t>
  </si>
  <si>
    <t>101-1929</t>
  </si>
  <si>
    <t>ФССЦ (2010) ч.1, раздел01, поз.1929</t>
  </si>
  <si>
    <t>Болты анкерные</t>
  </si>
  <si>
    <t>101-3661</t>
  </si>
  <si>
    <t>ФССЦ (2011) 101-3661, пр. №356 от 21 июля 2011 г.</t>
  </si>
  <si>
    <t>Пена монтажная</t>
  </si>
  <si>
    <t>203-9009</t>
  </si>
  <si>
    <t>ФССЦ (2010) ч.2, раздел03, поз.9009</t>
  </si>
  <si>
    <t>Дверь противопожарная металлическая</t>
  </si>
  <si>
    <t>1-1031</t>
  </si>
  <si>
    <t>Рабочий строитель среднего разряда 3,1</t>
  </si>
  <si>
    <t>101-9087</t>
  </si>
  <si>
    <t>ФССЦ (2010) ч.1, раздел01, поз.9087</t>
  </si>
  <si>
    <t>Детали деревянные лесов</t>
  </si>
  <si>
    <t>101-9093</t>
  </si>
  <si>
    <t>ФССЦ (2010) ч.1, раздел01, поз.9093</t>
  </si>
  <si>
    <t>Детали стальных трубчатых лесов</t>
  </si>
  <si>
    <t>203-0514</t>
  </si>
  <si>
    <t>ФССЦ (2010) ч.2, раздел03, поз.0514</t>
  </si>
  <si>
    <t>Щиты настила</t>
  </si>
  <si>
    <t>1-1011</t>
  </si>
  <si>
    <t>Рабочий строитель среднего разряда 1,1</t>
  </si>
  <si>
    <t>060248</t>
  </si>
  <si>
    <t>ЦЭМ  сб.06,поз.0248</t>
  </si>
  <si>
    <t>Экскаваторы одноковшовые дизельные на гусеничном ходу при работе на других видах строительства 0,65 м3</t>
  </si>
  <si>
    <t>автомобиль-самосвал-10 т</t>
  </si>
  <si>
    <t>Шпаклевка «Фугенфюллер ГВ», КНАУФ</t>
  </si>
  <si>
    <t>101-2474</t>
  </si>
  <si>
    <t>ФССЦ 101-2474 пр.№31/пр от 30.01.2014 г.</t>
  </si>
  <si>
    <t>Лента бумажная для повышения трещиностойкости стыков ГКЛ и ГВЛ</t>
  </si>
  <si>
    <t>101-2480</t>
  </si>
  <si>
    <t>ФССЦ 101-2480 пр.№31/пр от 30.01.2014 г.</t>
  </si>
  <si>
    <t>Лента разделительная для сопряжения потолка из ЛГК со стеной</t>
  </si>
  <si>
    <t>101-2484</t>
  </si>
  <si>
    <t>ФССЦ 101-2484 пр.№31/пр от 30.01.2014 г.</t>
  </si>
  <si>
    <t>Лента эластичная самоклеящаяся для профилей направляющих «Дихтунгсбанд» 30/30000 мм</t>
  </si>
  <si>
    <t>Листы гипсоволокнистые малоформатные влагостойкие 1500х1200х10 мм</t>
  </si>
  <si>
    <t>Шуруп самонарезающий (LN) 3,5/9,5 мм</t>
  </si>
  <si>
    <t>101-2587</t>
  </si>
  <si>
    <t>ФССЦ 101-2587 пр.№31/пр от 30.01.2014 г.</t>
  </si>
  <si>
    <t>Шуруп для ГВЛ 3,9/30</t>
  </si>
  <si>
    <t>Дюбель-гвоздь 6/39 мм</t>
  </si>
  <si>
    <t>101-2590</t>
  </si>
  <si>
    <t>ФССЦ 101-2590 пр.№31/пр от 30.01.2014 г.</t>
  </si>
  <si>
    <t>Дюбель с шурупом 6/35 мм</t>
  </si>
  <si>
    <t>201-0797</t>
  </si>
  <si>
    <t>ФССЦ 201-0797 пр.№31/пр от 30.01.2014 г.</t>
  </si>
  <si>
    <t>Профиль направляющий ПН 28/27/0,6</t>
  </si>
  <si>
    <t>201-0802</t>
  </si>
  <si>
    <t>ФССЦ 201-0802 пр.№31/пр от 30.01.2014 г.</t>
  </si>
  <si>
    <t>Профиль потолочный ПП 60/27/0,6</t>
  </si>
  <si>
    <t>201-0816</t>
  </si>
  <si>
    <t>ФССЦ 201-0816 пр.№31/пр от 30.01.2014 г.</t>
  </si>
  <si>
    <t>Подвес с зажимом для ПП-профиля 60*27 мм</t>
  </si>
  <si>
    <t>201-0823</t>
  </si>
  <si>
    <t>ФССЦ 201-0823 пр.№31/пр от 30.01.2014 г.</t>
  </si>
  <si>
    <t>Соединители профилей одноуровневые ПП</t>
  </si>
  <si>
    <t>201-0831</t>
  </si>
  <si>
    <t>ФССЦ 201-0831 пр.№31/пр от 30.01.2014 г.</t>
  </si>
  <si>
    <t>ПП- удлинитель профилей 60*27</t>
  </si>
  <si>
    <t>201-9010</t>
  </si>
  <si>
    <t>ФССЦ 201-9010 пр.№31/пр от 30.01.2014 г.</t>
  </si>
  <si>
    <t>Тяга подвесов</t>
  </si>
  <si>
    <t>ЦЭМ  сб.40,поз.0001</t>
  </si>
  <si>
    <t>101-0684</t>
  </si>
  <si>
    <t>ФССЦ, сб.101,поз.0684</t>
  </si>
  <si>
    <t>Плиты древесноволокнистые сухого способа производства группы А, твердые марки ТС-400 толщиной 5 мм</t>
  </si>
  <si>
    <t>1000 м2</t>
  </si>
  <si>
    <t>101-1805</t>
  </si>
  <si>
    <t>ФССЦ, сб.101,поз.1805</t>
  </si>
  <si>
    <t>Гвозди строительные</t>
  </si>
  <si>
    <t>Пленка полиэтиленовая</t>
  </si>
  <si>
    <t>101-0001</t>
  </si>
  <si>
    <t>ФССЦ 101-0001 пр.№31/пр от 30.01.2014 г.</t>
  </si>
  <si>
    <t>Асбест хризотиловый</t>
  </si>
  <si>
    <t>101-0620</t>
  </si>
  <si>
    <t>ФССЦ 101-0620 пр.№31/пр от 30.01.2014 г.</t>
  </si>
  <si>
    <t>Мел природный молотый</t>
  </si>
  <si>
    <t>101-1320</t>
  </si>
  <si>
    <t>ФССЦ 101-1320 пр.№31/пр от 30.01.2014 г.</t>
  </si>
  <si>
    <t>Портландцемент специального назначения сульфатостойкий, марки 400</t>
  </si>
  <si>
    <t>101-1813</t>
  </si>
  <si>
    <t>ФССЦ 101-1813 пр.№31/пр от 30.01.2014 г.</t>
  </si>
  <si>
    <t>Дисперсия поливинилацетатная гомополимерная грубодисперсная непластифицированная (эмульсия поливинилацетатная)</t>
  </si>
  <si>
    <t>101-1840</t>
  </si>
  <si>
    <t>ФССЦ 101-1840 пр.№31/пр от 30.01.2014 г.</t>
  </si>
  <si>
    <t>Клей малярный жидкий</t>
  </si>
  <si>
    <t>409-0639</t>
  </si>
  <si>
    <t>ФССЦ 409-0639 пр.№31/пр от 30.01.2014 г.</t>
  </si>
  <si>
    <t>Пемза шлаковая (щебень пористый из металлургического шлака), марка 600, фракция 5-10 мм</t>
  </si>
  <si>
    <t>Шпатлевка клеевая</t>
  </si>
  <si>
    <t>Краска водоэмульсионная ВЭАК-1180</t>
  </si>
  <si>
    <t>ФССЦ 101-1805 пр.№31/пр от 30.01.2014 г.</t>
  </si>
  <si>
    <t>411-0001</t>
  </si>
  <si>
    <t>ФССЦ 411-0001 пр.№31/пр от 30.01.2014 г.</t>
  </si>
  <si>
    <t>Вода</t>
  </si>
  <si>
    <t>101-1323</t>
  </si>
  <si>
    <t>ФССЦ (2010) ч.1, раздел01, поз.1323</t>
  </si>
  <si>
    <t>Шлакопортландцемент общестроительного и специального назначения марки 300</t>
  </si>
  <si>
    <t>405-0253</t>
  </si>
  <si>
    <t>ФССЦ (2010) ч.4, раздел05, поз.0253</t>
  </si>
  <si>
    <t>Известь строительная негашеная комовая, сорт I</t>
  </si>
  <si>
    <t>408-9040</t>
  </si>
  <si>
    <t>ФССЦ (2010) ч.4, раздел08, поз.9040</t>
  </si>
  <si>
    <t>Песок для строительных работ природный</t>
  </si>
  <si>
    <t>ФССЦ (2010) ч.4, раздел11, поз.0001</t>
  </si>
  <si>
    <t>Смесь сухая для заделки швов (фуга) АТЛАС растворная для ручной работы</t>
  </si>
  <si>
    <t>101-9540</t>
  </si>
  <si>
    <t>ФССЦ 101-9540 пр.№31/пр от 30.01.2014 г.</t>
  </si>
  <si>
    <t>Цемент</t>
  </si>
  <si>
    <t>331801</t>
  </si>
  <si>
    <t>Комплексы вакуумные типа СО-177</t>
  </si>
  <si>
    <t>113-0001</t>
  </si>
  <si>
    <t>ФССЦ 113-0001 пр.№31/пр от 30.01.2014 г.</t>
  </si>
  <si>
    <t>Аэросил, марка А-175</t>
  </si>
  <si>
    <t>Электроды диаметром 4 мм Э42</t>
  </si>
  <si>
    <t>Пена монтажная противопожарная полиуретановая NULLIFIRE (0,88 л)</t>
  </si>
  <si>
    <t>№ п/п</t>
  </si>
  <si>
    <t>Шифр норм</t>
  </si>
  <si>
    <t>Наименование видов работ и затрат</t>
  </si>
  <si>
    <t>Единица измерения</t>
  </si>
  <si>
    <t>Количество</t>
  </si>
  <si>
    <t>Сметная стоимость в текущих (прогнозных) ценах, руб.</t>
  </si>
  <si>
    <t>Трудозатраты рабочих, чел.-ч</t>
  </si>
  <si>
    <t>Трудозатраты машинистов, чел.-ч</t>
  </si>
  <si>
    <t>На единицу</t>
  </si>
  <si>
    <t>Общая</t>
  </si>
  <si>
    <t>В том числе</t>
  </si>
  <si>
    <t>Основная зарплата</t>
  </si>
  <si>
    <t>Зарплата машинистов</t>
  </si>
  <si>
    <t>Материалы</t>
  </si>
  <si>
    <r>
      <t>Устройство подвесных потолков из гипсоволокнистых листов (ГВЛ) по системе «КНАУФ» одноуровневых (П 213)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</si>
  <si>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t>Итого с НР и СП</t>
  </si>
  <si>
    <r>
      <t>Рабочий строитель среднего разряда 3,5</t>
    </r>
    <r>
      <rPr>
        <i/>
        <sz val="10"/>
        <rFont val="Times New Roman"/>
        <family val="1"/>
      </rPr>
      <t xml:space="preserve">
к норм. расх. *1,15</t>
    </r>
  </si>
  <si>
    <r>
      <t>Шуруповерт</t>
    </r>
    <r>
      <rPr>
        <i/>
        <sz val="10"/>
        <rFont val="Times New Roman"/>
        <family val="1"/>
      </rPr>
      <t xml:space="preserve">
к норм. расх. *1,25</t>
    </r>
  </si>
  <si>
    <r>
      <t>Ножницы электрические</t>
    </r>
    <r>
      <rPr>
        <i/>
        <sz val="10"/>
        <rFont val="Times New Roman"/>
        <family val="1"/>
      </rPr>
      <t xml:space="preserve">
к норм. расх. *1,25</t>
    </r>
  </si>
  <si>
    <r>
      <t>Перфораторы электрические</t>
    </r>
    <r>
      <rPr>
        <i/>
        <sz val="10"/>
        <rFont val="Times New Roman"/>
        <family val="1"/>
      </rPr>
      <t xml:space="preserve">
к норм. расх. *1,25</t>
    </r>
  </si>
  <si>
    <r>
      <t>Подшивка потолков листами ГВЛВ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</si>
  <si>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Затраты труда рабочих, разряд работ 3.1</t>
    </r>
    <r>
      <rPr>
        <i/>
        <sz val="10"/>
        <rFont val="Times New Roman"/>
        <family val="1"/>
      </rPr>
      <t xml:space="preserve">
к норм. расх. *1,15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</si>
  <si>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</t>
    </r>
  </si>
  <si>
    <r>
      <t>Пила дисковая электрическая</t>
    </r>
    <r>
      <rPr>
        <i/>
        <sz val="10"/>
        <rFont val="Times New Roman"/>
        <family val="1"/>
      </rPr>
      <t xml:space="preserve">
к норм. расх. *1,25</t>
    </r>
  </si>
  <si>
    <r>
      <t>Изоляция покрытий и перекрытий изделиями из волокнистых и зернистых материалов насухо</t>
    </r>
    <r>
      <rPr>
        <i/>
        <sz val="10"/>
        <color indexed="58"/>
        <rFont val="Times New Roman"/>
        <family val="1"/>
      </rPr>
      <t xml:space="preserve">
К=(ЭММ, ЗПМ, ТЗМ)*1,25; (ОЗП, ТЗ)*1,15; НР=76,5; СП=47,6</t>
    </r>
  </si>
  <si>
    <r>
      <t>Рабочий строитель среднего разряда 3,7</t>
    </r>
    <r>
      <rPr>
        <i/>
        <sz val="10"/>
        <rFont val="Times New Roman"/>
        <family val="1"/>
      </rPr>
      <t xml:space="preserve">
к норм. расх. *1,15</t>
    </r>
  </si>
  <si>
    <r>
      <t>Лебедки электрические тяговым усилием 19,62 кН (2 т)</t>
    </r>
    <r>
      <rPr>
        <i/>
        <sz val="10"/>
        <rFont val="Times New Roman"/>
        <family val="1"/>
      </rPr>
      <t xml:space="preserve">
к норм. расх. *1,25</t>
    </r>
  </si>
  <si>
    <r>
      <t>Автомобили бортовые, грузоподъемность до 5 т</t>
    </r>
    <r>
      <rPr>
        <i/>
        <sz val="10"/>
        <rFont val="Times New Roman"/>
        <family val="1"/>
      </rPr>
      <t xml:space="preserve">
к норм. расх. *1,25</t>
    </r>
  </si>
  <si>
    <r>
      <t>Установка пароизоляционного слоя в 2 слоя</t>
    </r>
    <r>
      <rPr>
        <i/>
        <sz val="10"/>
        <color indexed="58"/>
        <rFont val="Times New Roman"/>
        <family val="1"/>
      </rPr>
      <t xml:space="preserve">
К=МАТ*2; (ЭММ, ЗПМ, ТЗМ)*1,25*2; (ОЗП, ТЗ)*1,15*2; НР=76,5; СП=47,6</t>
    </r>
  </si>
  <si>
    <r>
      <t>Рабочий строитель среднего разряда 3,2</t>
    </r>
    <r>
      <rPr>
        <i/>
        <sz val="10"/>
        <rFont val="Times New Roman"/>
        <family val="1"/>
      </rPr>
      <t xml:space="preserve">
к норм. расх. *1,15*2</t>
    </r>
  </si>
  <si>
    <r>
      <t>Лента полиэтиленовая с липким слоем А50</t>
    </r>
    <r>
      <rPr>
        <i/>
        <sz val="10"/>
        <rFont val="Times New Roman"/>
        <family val="1"/>
      </rPr>
      <t xml:space="preserve">
к норм. расх. *2</t>
    </r>
  </si>
  <si>
    <r>
      <t>Пароизоляция</t>
    </r>
    <r>
      <rPr>
        <i/>
        <sz val="10"/>
        <rFont val="Times New Roman"/>
        <family val="1"/>
      </rPr>
      <t xml:space="preserve">
к норм. расх. *2</t>
    </r>
  </si>
  <si>
    <r>
      <t>Покрытие поверхностей грунтовкой глубокого проникновения за 1 раз потолков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</si>
  <si>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Рабочий строитель среднего разряда 4</t>
    </r>
    <r>
      <rPr>
        <i/>
        <sz val="10"/>
        <rFont val="Times New Roman"/>
        <family val="1"/>
      </rPr>
      <t xml:space="preserve">
к норм. расх. *1,15</t>
    </r>
  </si>
  <si>
    <r>
      <t>Подъемники грузоподъемностью до 500 кг одномачтовые, высота подъема 45 м</t>
    </r>
    <r>
      <rPr>
        <i/>
        <sz val="10"/>
        <rFont val="Times New Roman"/>
        <family val="1"/>
      </rPr>
      <t xml:space="preserve">
к норм. расх. *1,25</t>
    </r>
  </si>
  <si>
    <r>
      <t>Сплошная шпаклевка ранее оштукатуренных поверхностей за 2 раза</t>
    </r>
    <r>
      <rPr>
        <i/>
        <sz val="10"/>
        <color indexed="58"/>
        <rFont val="Times New Roman"/>
        <family val="1"/>
      </rPr>
      <t xml:space="preserve">
К=(МАТ, ЭММ, ЗПМ, ОЗП, ТЗ, ТЗМ)*2; НР*0,85; СП*0,8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</si>
  <si>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*2</t>
    </r>
  </si>
  <si>
    <r>
      <t>Шпаклевка гипсовая</t>
    </r>
    <r>
      <rPr>
        <i/>
        <sz val="10"/>
        <rFont val="Times New Roman"/>
        <family val="1"/>
      </rPr>
      <t xml:space="preserve">
к норм. расх. *2</t>
    </r>
  </si>
  <si>
    <r>
      <t>Окраска потолков краской ХВ-785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</si>
  <si>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Рабочий строитель среднего разряда 3,4</t>
    </r>
    <r>
      <rPr>
        <i/>
        <sz val="10"/>
        <rFont val="Times New Roman"/>
        <family val="1"/>
      </rPr>
      <t xml:space="preserve">
к норм. расх. *1,15</t>
    </r>
  </si>
  <si>
    <r>
      <t>Покрытие поверхностей грунтовкой глубокого проникновения за 1 раз стен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</si>
  <si>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Установка маячных реек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</si>
  <si>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Рабочий строитель среднего разряда 2,4</t>
    </r>
    <r>
      <rPr>
        <i/>
        <sz val="10"/>
        <rFont val="Times New Roman"/>
        <family val="1"/>
      </rPr>
      <t xml:space="preserve">
к норм. расх. *1,15</t>
    </r>
  </si>
  <si>
    <r>
      <t>Устройство основания под штукатурку из металлической сетки по кирпичным и бетонным поверхностям</t>
    </r>
    <r>
      <rPr>
        <i/>
        <sz val="10"/>
        <color indexed="58"/>
        <rFont val="Times New Roman"/>
        <family val="1"/>
      </rPr>
      <t xml:space="preserve">
К=НР=67,15; СП=40</t>
    </r>
  </si>
  <si>
    <r>
      <t>Штукатурка поверхностей внутри здания цементно-известковым или цементным раствором по камню и бетону простая стен</t>
    </r>
    <r>
      <rPr>
        <i/>
        <sz val="10"/>
        <color indexed="58"/>
        <rFont val="Times New Roman"/>
        <family val="1"/>
      </rPr>
      <t xml:space="preserve">
К=МАТ*2; (ЭММ, ЗПМ, ТЗМ)*1,25*2; (ОЗП, ТЗ)*1,15*2; НР=80,33; СП=37,4</t>
    </r>
  </si>
  <si>
    <r>
      <t>Рабочий строитель среднего разряда 3,5</t>
    </r>
    <r>
      <rPr>
        <i/>
        <sz val="10"/>
        <rFont val="Times New Roman"/>
        <family val="1"/>
      </rPr>
      <t xml:space="preserve">
к норм. расх. *1,15*2</t>
    </r>
  </si>
  <si>
    <r>
      <t>Затраты труда машинистов</t>
    </r>
    <r>
      <rPr>
        <i/>
        <sz val="10"/>
        <rFont val="Times New Roman"/>
        <family val="1"/>
      </rPr>
      <t xml:space="preserve">
к норм. расх. *1,25*2</t>
    </r>
  </si>
  <si>
    <r>
      <t>Подъемники грузоподъемностью до 500 кг одномачтовые, высота подъема 45 м</t>
    </r>
    <r>
      <rPr>
        <i/>
        <sz val="10"/>
        <rFont val="Times New Roman"/>
        <family val="1"/>
      </rPr>
      <t xml:space="preserve">
к норм. расх. *1,25*2</t>
    </r>
  </si>
  <si>
    <r>
      <t>Растворонасосы 1 м3/ч</t>
    </r>
    <r>
      <rPr>
        <i/>
        <sz val="10"/>
        <rFont val="Times New Roman"/>
        <family val="1"/>
      </rPr>
      <t xml:space="preserve">
к норм. расх. *1,25*2</t>
    </r>
  </si>
  <si>
    <r>
      <t>Гвозди строительные с плоской головкой 1,6x50 мм</t>
    </r>
    <r>
      <rPr>
        <i/>
        <sz val="10"/>
        <rFont val="Times New Roman"/>
        <family val="1"/>
      </rPr>
      <t xml:space="preserve">
к норм. расх. *2</t>
    </r>
  </si>
  <si>
    <r>
      <t>Сетка тканая с квадратными ячейками № 05 без покрытия</t>
    </r>
    <r>
      <rPr>
        <i/>
        <sz val="10"/>
        <rFont val="Times New Roman"/>
        <family val="1"/>
      </rPr>
      <t xml:space="preserve">
к норм. расх. *2</t>
    </r>
  </si>
  <si>
    <r>
      <t>Раствор готовый отделочный тяжелый, цементно-известковый 1:1:6</t>
    </r>
    <r>
      <rPr>
        <i/>
        <sz val="10"/>
        <rFont val="Times New Roman"/>
        <family val="1"/>
      </rPr>
      <t xml:space="preserve">
к норм. расх. *2</t>
    </r>
  </si>
  <si>
    <r>
      <t>Гипсовые вяжущие, марка Г3</t>
    </r>
    <r>
      <rPr>
        <i/>
        <sz val="10"/>
        <rFont val="Times New Roman"/>
        <family val="1"/>
      </rPr>
      <t xml:space="preserve">
к норм. расх. *2</t>
    </r>
  </si>
  <si>
    <r>
      <t>Приготовление отделочных растворов</t>
    </r>
    <r>
      <rPr>
        <i/>
        <sz val="10"/>
        <color indexed="58"/>
        <rFont val="Times New Roman"/>
        <family val="1"/>
      </rPr>
      <t xml:space="preserve">
К=НР=56,1; СП=32</t>
    </r>
  </si>
  <si>
    <r>
      <t>Гладкая облицовка стен керамической плиткой на клее из сухих смесей по кирпичу и бетону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</si>
  <si>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Рабочий строитель среднего разряда 3,6</t>
    </r>
    <r>
      <rPr>
        <i/>
        <sz val="10"/>
        <rFont val="Times New Roman"/>
        <family val="1"/>
      </rPr>
      <t xml:space="preserve">
к норм. расх. *1,15</t>
    </r>
  </si>
  <si>
    <r>
      <t>Автопогрузчики 5 т</t>
    </r>
    <r>
      <rPr>
        <i/>
        <sz val="10"/>
        <rFont val="Times New Roman"/>
        <family val="1"/>
      </rPr>
      <t xml:space="preserve">
к норм. расх. *1,25</t>
    </r>
  </si>
  <si>
    <r>
      <t>Растворосмесители передвижные 65 л</t>
    </r>
    <r>
      <rPr>
        <i/>
        <sz val="10"/>
        <rFont val="Times New Roman"/>
        <family val="1"/>
      </rPr>
      <t xml:space="preserve">
к норм. расх. *1,25</t>
    </r>
  </si>
  <si>
    <r>
      <t>Сплошное выравнивание внутренних поверхностей (однослойное оштукатуривание)из сухих растворных смесей толщиной до 10 мм стен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</si>
  <si>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t xml:space="preserve"> </t>
  </si>
  <si>
    <r>
      <t>Ремонт штукатурки откосов внутри здания по камню и бетону цементно-известковым раствором прямолинейных</t>
    </r>
    <r>
      <rPr>
        <i/>
        <sz val="10"/>
        <color indexed="58"/>
        <rFont val="Times New Roman"/>
        <family val="1"/>
      </rPr>
      <t xml:space="preserve">
К=НР=67,15; СП=40</t>
    </r>
  </si>
  <si>
    <r>
      <t>Шпаклевка откосов за 2 раза</t>
    </r>
    <r>
      <rPr>
        <i/>
        <sz val="10"/>
        <color indexed="58"/>
        <rFont val="Times New Roman"/>
        <family val="1"/>
      </rPr>
      <t xml:space="preserve">
К=(МАТ, ЭММ, ЗПМ, ОЗП, ТЗ, ТЗМ)*2; НР=68; СП=40</t>
    </r>
  </si>
  <si>
    <r>
      <t>Шпаклевка</t>
    </r>
    <r>
      <rPr>
        <i/>
        <sz val="10"/>
        <rFont val="Times New Roman"/>
        <family val="1"/>
      </rPr>
      <t xml:space="preserve">
к норм. расх. *2</t>
    </r>
  </si>
  <si>
    <r>
      <t>Грунтовка откосов за 2 раза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</si>
  <si>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Установка подоконных досок из ПВХ в каменных стенах толщиной до 0,51 м</t>
    </r>
    <r>
      <rPr>
        <i/>
        <sz val="10"/>
        <color indexed="58"/>
        <rFont val="Times New Roman"/>
        <family val="1"/>
      </rPr>
      <t xml:space="preserve">
К=(ЭММ, ЗПМ, ТЗМ)*1,25; (ОЗП, ТЗ)*1,15; НР=90,27; СП=42,84</t>
    </r>
  </si>
  <si>
    <r>
      <t>Рабочий строитель среднего разряда 3</t>
    </r>
    <r>
      <rPr>
        <i/>
        <sz val="10"/>
        <rFont val="Times New Roman"/>
        <family val="1"/>
      </rPr>
      <t xml:space="preserve">
к норм. расх. *1,15</t>
    </r>
  </si>
  <si>
    <r>
      <t>Окраска стен  краской ХВ-785</t>
    </r>
    <r>
      <rPr>
        <i/>
        <sz val="10"/>
        <color indexed="58"/>
        <rFont val="Times New Roman"/>
        <family val="1"/>
      </rPr>
      <t xml:space="preserve">
К=(ЭММ, ЗПМ, ТЗМ)*1,25; (ОЗП, ТЗ)*1,15; НР=80,33; СП=37,4</t>
    </r>
  </si>
  <si>
    <r>
      <t>Разборка бетонных полов толщиной  250 мм</t>
    </r>
    <r>
      <rPr>
        <i/>
        <sz val="10"/>
        <color indexed="58"/>
        <rFont val="Times New Roman"/>
        <family val="1"/>
      </rPr>
      <t xml:space="preserve">
К=НР=93,5; СП=56</t>
    </r>
  </si>
  <si>
    <r>
      <t>Устройство полов бетонных толщиной 250 мм</t>
    </r>
    <r>
      <rPr>
        <i/>
        <sz val="10"/>
        <color indexed="58"/>
        <rFont val="Times New Roman"/>
        <family val="1"/>
      </rPr>
      <t xml:space="preserve">
К=(ЭММ, ЗПМ, ТЗМ)*1,25; (ОЗП, ТЗ)*1,15; НР=94,1; СП=51</t>
    </r>
  </si>
  <si>
    <r>
      <t>Автобетононасос</t>
    </r>
    <r>
      <rPr>
        <i/>
        <sz val="10"/>
        <rFont val="Times New Roman"/>
        <family val="1"/>
      </rPr>
      <t xml:space="preserve">
к норм. расх. *1,25</t>
    </r>
  </si>
  <si>
    <r>
      <t>Оклейка бетонной поверхности полиизобутиленовыми пластинами толщиной 2,5 мм на клее 88-СА со сваркой листов в 2 слоя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</si>
  <si>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Рабочий строитель среднего разряда 4,6</t>
    </r>
    <r>
      <rPr>
        <i/>
        <sz val="10"/>
        <rFont val="Times New Roman"/>
        <family val="1"/>
      </rPr>
      <t xml:space="preserve">
к норм. расх. *1,15</t>
    </r>
  </si>
  <si>
    <r>
      <t>Лебедки электрические тяговым усилием до 5,79 кН (0,59 т)</t>
    </r>
    <r>
      <rPr>
        <i/>
        <sz val="10"/>
        <rFont val="Times New Roman"/>
        <family val="1"/>
      </rPr>
      <t xml:space="preserve">
к норм. расх. *1,25</t>
    </r>
  </si>
  <si>
    <r>
      <t>Горелки электрические для сварки пластмасс</t>
    </r>
    <r>
      <rPr>
        <i/>
        <sz val="10"/>
        <rFont val="Times New Roman"/>
        <family val="1"/>
      </rPr>
      <t xml:space="preserve">
к норм. расх. *1,25</t>
    </r>
  </si>
  <si>
    <r>
      <t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</si>
  <si>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Станок камнерезный универсальный</t>
    </r>
    <r>
      <rPr>
        <i/>
        <sz val="10"/>
        <rFont val="Times New Roman"/>
        <family val="1"/>
      </rPr>
      <t xml:space="preserve">
к норм. расх. *1,25</t>
    </r>
  </si>
  <si>
    <r>
      <t>Разделка швов футеровки эпоксидной замазкой при укладке плитки кислотоупорной керамической, глубина заполнения швов 15 мм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СП=47,6</t>
    </r>
  </si>
  <si>
    <r>
      <t>Разборка деревянных заполнений проемов дверных</t>
    </r>
    <r>
      <rPr>
        <i/>
        <sz val="10"/>
        <color indexed="58"/>
        <rFont val="Times New Roman"/>
        <family val="1"/>
      </rPr>
      <t xml:space="preserve">
К=НР=93,5; СП=56</t>
    </r>
  </si>
  <si>
    <r>
      <t>Установка противопожарных дверей двупольных глухих</t>
    </r>
    <r>
      <rPr>
        <i/>
        <sz val="10"/>
        <color indexed="58"/>
        <rFont val="Times New Roman"/>
        <family val="1"/>
      </rPr>
      <t xml:space="preserve">
К=(ЭММ, ЗПМ, ТЗМ)*1,25; (ОЗП, ТЗ)*1,15; НР=68,85; СП=57,8</t>
    </r>
  </si>
  <si>
    <r>
      <t>Рабочий строитель среднего разряда 4,3</t>
    </r>
    <r>
      <rPr>
        <i/>
        <sz val="10"/>
        <rFont val="Times New Roman"/>
        <family val="1"/>
      </rPr>
      <t xml:space="preserve">
к норм. расх. *1,15</t>
    </r>
  </si>
  <si>
    <r>
      <t>Установки для сварки ручной дуговой (постоянного тока)</t>
    </r>
    <r>
      <rPr>
        <i/>
        <sz val="10"/>
        <rFont val="Times New Roman"/>
        <family val="1"/>
      </rPr>
      <t xml:space="preserve">
к норм. расх. *1,25</t>
    </r>
  </si>
  <si>
    <r>
      <t>Установка и разборка внутренних трубчатых инвентарных лесов при высоте помещений до 6 м</t>
    </r>
    <r>
      <rPr>
        <i/>
        <sz val="10"/>
        <color indexed="58"/>
        <rFont val="Times New Roman"/>
        <family val="1"/>
      </rPr>
      <t xml:space="preserve">
К=(ЭММ, ЗПМ, ТЗМ)*1,25; (ОЗП, ТЗ)*1,15; НР=93,33; СП=54,4</t>
    </r>
  </si>
  <si>
    <r>
      <t>Рабочий строитель среднего разряда 3,1</t>
    </r>
    <r>
      <rPr>
        <i/>
        <sz val="10"/>
        <rFont val="Times New Roman"/>
        <family val="1"/>
      </rPr>
      <t xml:space="preserve">
к норм. расх. *1,15</t>
    </r>
  </si>
  <si>
    <r>
      <t>Очистка помещений от строительного мусора</t>
    </r>
    <r>
      <rPr>
        <i/>
        <sz val="10"/>
        <color indexed="58"/>
        <rFont val="Times New Roman"/>
        <family val="1"/>
      </rPr>
      <t xml:space="preserve">
К=НР*0,85; СП*0,8</t>
    </r>
  </si>
  <si>
    <r>
      <t>Погрузка: Мусор   строительный   с   погрузкой   экскаваторами емкостью ковша до 0,5мЗ</t>
    </r>
    <r>
      <rPr>
        <i/>
        <sz val="10"/>
        <color indexed="58"/>
        <rFont val="Times New Roman"/>
        <family val="1"/>
      </rPr>
      <t xml:space="preserve">
К=НР=85; СП=48</t>
    </r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</si>
  <si>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</si>
  <si>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</si>
  <si>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</si>
  <si>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</si>
  <si>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</si>
  <si>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</si>
  <si>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</si>
  <si>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</si>
  <si>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</si>
  <si>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</si>
  <si>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</si>
  <si>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STOIM_B</t>
  </si>
  <si>
    <t>PRICE_C</t>
  </si>
  <si>
    <t>STOIM_C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</si>
  <si>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</si>
  <si>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</si>
  <si>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</si>
  <si>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</si>
  <si>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</si>
  <si>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</si>
  <si>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</si>
  <si>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</si>
  <si>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</si>
  <si>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</si>
  <si>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</si>
  <si>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</si>
  <si>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</si>
  <si>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</si>
  <si>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изоляция</t>
  </si>
  <si>
    <t>Обоснование</t>
  </si>
  <si>
    <t>Наименование</t>
  </si>
  <si>
    <t>Объем</t>
  </si>
  <si>
    <t>Базовая</t>
  </si>
  <si>
    <t>цена</t>
  </si>
  <si>
    <t>стоимость</t>
  </si>
  <si>
    <t>Локальная смета: Участок изоляции+тамбур</t>
  </si>
  <si>
    <t>Материальные ресурсы (неучтенные)</t>
  </si>
  <si>
    <t xml:space="preserve">Итого материальные ресурсы </t>
  </si>
  <si>
    <t>Итого по объекту: изоляция</t>
  </si>
  <si>
    <t xml:space="preserve">Итого материалы заказчика </t>
  </si>
  <si>
    <t>"УТВЕРЖДАЮ"</t>
  </si>
  <si>
    <t>" ___ " ___________ 20 ___ г.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</si>
  <si>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</si>
  <si>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</si>
  <si>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</si>
  <si>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Наименование работ и затрат</t>
  </si>
  <si>
    <t>Примечание</t>
  </si>
  <si>
    <t>Заказчик _________________</t>
  </si>
  <si>
    <t>Подрядчик _________________</t>
  </si>
  <si>
    <t>"Согласовано"</t>
  </si>
  <si>
    <t>"Утверждаю"</t>
  </si>
  <si>
    <t>Директор ООО "Промтехвуз-М"</t>
  </si>
  <si>
    <t>Генеральный директор АО "ММЗ"</t>
  </si>
  <si>
    <t>_______________ / Логушин И.Ю. /</t>
  </si>
  <si>
    <t>_______________ / Ефремов Б.И./</t>
  </si>
  <si>
    <t>Общестроительные работы в корпусе 15 в осях (1-5)  (Б-Г') (участок изоляции)</t>
  </si>
  <si>
    <t>Стоимость материальных ресурсов</t>
  </si>
  <si>
    <t>"_____" __________________  2017 г.</t>
  </si>
  <si>
    <t>СМЕТА № 2</t>
  </si>
  <si>
    <t xml:space="preserve">Приложение № 3  к договору №                                               от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</si>
</sst>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  <numFmt numFmtId="177" formatCode="#,##0;[Red]\-\ #,##0"/>
    <numFmt numFmtId="178" formatCode="#,##0.00####;[Red]\-\ #,##0.00####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0"/>
      <color indexed="58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33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right" vertical="top" wrapText="1"/>
    </xf>
    <xf numFmtId="0" fontId="62" fillId="0" borderId="10" xfId="0" applyFont="1" applyBorder="1" applyAlignment="1">
      <alignment horizontal="right"/>
    </xf>
    <xf numFmtId="176" fontId="62" fillId="0" borderId="10" xfId="0" applyNumberFormat="1" applyFont="1" applyBorder="1" applyAlignment="1">
      <alignment horizontal="right"/>
    </xf>
    <xf numFmtId="177" fontId="62" fillId="0" borderId="10" xfId="0" applyNumberFormat="1" applyFont="1" applyBorder="1" applyAlignment="1">
      <alignment horizontal="right"/>
    </xf>
    <xf numFmtId="178" fontId="6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right" vertical="top"/>
    </xf>
    <xf numFmtId="177" fontId="13" fillId="0" borderId="10" xfId="0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left" vertical="top"/>
    </xf>
    <xf numFmtId="0" fontId="17" fillId="0" borderId="11" xfId="0" applyFont="1" applyBorder="1" applyAlignment="1">
      <alignment horizontal="right" vertical="top"/>
    </xf>
    <xf numFmtId="177" fontId="17" fillId="0" borderId="11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horizontal="right" wrapText="1"/>
    </xf>
    <xf numFmtId="0" fontId="19" fillId="0" borderId="13" xfId="0" applyFont="1" applyBorder="1" applyAlignment="1">
      <alignment horizontal="right" wrapText="1"/>
    </xf>
    <xf numFmtId="0" fontId="19" fillId="0" borderId="14" xfId="0" applyFont="1" applyBorder="1" applyAlignment="1">
      <alignment horizontal="right" wrapText="1"/>
    </xf>
    <xf numFmtId="0" fontId="19" fillId="0" borderId="13" xfId="0" applyFont="1" applyBorder="1" applyAlignment="1">
      <alignment horizontal="left" wrapText="1"/>
    </xf>
    <xf numFmtId="176" fontId="19" fillId="0" borderId="13" xfId="0" applyNumberFormat="1" applyFont="1" applyBorder="1" applyAlignment="1">
      <alignment horizontal="right" wrapText="1"/>
    </xf>
    <xf numFmtId="177" fontId="19" fillId="0" borderId="13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19" fillId="0" borderId="17" xfId="0" applyFont="1" applyBorder="1" applyAlignment="1">
      <alignment horizontal="right" wrapText="1"/>
    </xf>
    <xf numFmtId="0" fontId="19" fillId="0" borderId="16" xfId="0" applyFont="1" applyBorder="1" applyAlignment="1">
      <alignment horizontal="left" wrapText="1"/>
    </xf>
    <xf numFmtId="176" fontId="19" fillId="0" borderId="16" xfId="0" applyNumberFormat="1" applyFont="1" applyBorder="1" applyAlignment="1">
      <alignment horizontal="right" wrapText="1"/>
    </xf>
    <xf numFmtId="177" fontId="19" fillId="0" borderId="16" xfId="0" applyNumberFormat="1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19" fillId="0" borderId="19" xfId="0" applyFont="1" applyBorder="1" applyAlignment="1">
      <alignment horizontal="left" wrapText="1"/>
    </xf>
    <xf numFmtId="0" fontId="19" fillId="0" borderId="19" xfId="0" applyFont="1" applyBorder="1" applyAlignment="1">
      <alignment horizontal="right" wrapText="1"/>
    </xf>
    <xf numFmtId="176" fontId="19" fillId="0" borderId="19" xfId="0" applyNumberFormat="1" applyFont="1" applyBorder="1" applyAlignment="1">
      <alignment horizontal="right" wrapText="1"/>
    </xf>
    <xf numFmtId="177" fontId="19" fillId="0" borderId="19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right" wrapText="1"/>
    </xf>
    <xf numFmtId="176" fontId="17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wrapText="1"/>
    </xf>
    <xf numFmtId="177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 quotePrefix="1">
      <alignment horizontal="left" wrapText="1"/>
    </xf>
    <xf numFmtId="0" fontId="63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right" wrapText="1"/>
    </xf>
    <xf numFmtId="176" fontId="13" fillId="0" borderId="11" xfId="0" applyNumberFormat="1" applyFont="1" applyBorder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top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right" wrapText="1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0" fillId="0" borderId="0" xfId="52" applyFont="1" applyFill="1" applyBorder="1">
      <alignment/>
      <protection/>
    </xf>
    <xf numFmtId="0" fontId="11" fillId="0" borderId="0" xfId="52" applyFont="1" applyFill="1" applyBorder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21" fillId="0" borderId="0" xfId="52" applyFont="1" applyFill="1" applyBorder="1" applyAlignment="1">
      <alignment horizontal="left" wrapText="1"/>
      <protection/>
    </xf>
    <xf numFmtId="0" fontId="11" fillId="0" borderId="0" xfId="52" applyFont="1" applyFill="1" applyBorder="1" applyAlignment="1">
      <alignment/>
      <protection/>
    </xf>
    <xf numFmtId="0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177" fontId="17" fillId="0" borderId="11" xfId="0" applyNumberFormat="1" applyFont="1" applyBorder="1" applyAlignment="1">
      <alignment horizontal="right"/>
    </xf>
    <xf numFmtId="177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left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 wrapText="1"/>
    </xf>
    <xf numFmtId="0" fontId="63" fillId="0" borderId="27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right"/>
    </xf>
    <xf numFmtId="176" fontId="17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20" fillId="0" borderId="29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5;&#1088;&#1086;&#1084;&#1090;&#1077;&#1093;&#1074;&#1091;&#1079;\(&#1087;&#1088;&#1080;&#1089;&#1090;&#1088;&#1086;&#1081;)%20&#1082;&#1086;&#1084;&#1085;&#1072;&#1090;&#1072;%20&#1074;&#1083;&#1072;&#1075;&#1080;\&#1055;&#1088;&#1080;&#1089;&#1090;&#1088;&#1086;&#1081;%20(&#1082;&#1086;&#1084;&#1085;&#1072;&#1090;&#1072;%20&#1074;&#1083;&#1072;&#1075;&#1080;)&#1089;&#1084;&#1077;&#1090;&#1072;%2003.04.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ектная ведомость"/>
      <sheetName val="Смета в текущих ценах(14гр"/>
      <sheetName val="Source"/>
      <sheetName val="SourceObSm"/>
      <sheetName val="SmtRes"/>
      <sheetName val="Etalon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6.28125" style="0" customWidth="1"/>
    <col min="2" max="2" width="15.7109375" style="0" customWidth="1"/>
    <col min="3" max="3" width="40.7109375" style="0" customWidth="1"/>
    <col min="4" max="14" width="12.7109375" style="0" customWidth="1"/>
    <col min="20" max="26" width="0" style="0" hidden="1" customWidth="1"/>
    <col min="27" max="27" width="160.28125" style="0" hidden="1" customWidth="1"/>
    <col min="28" max="30" width="0" style="0" hidden="1" customWidth="1"/>
    <col min="31" max="31" width="196.28125" style="0" hidden="1" customWidth="1"/>
    <col min="32" max="33" width="0" style="0" hidden="1" customWidth="1"/>
    <col min="34" max="34" width="112.28125" style="0" hidden="1" customWidth="1"/>
    <col min="35" max="36" width="0" style="0" hidden="1" customWidth="1"/>
  </cols>
  <sheetData>
    <row r="1" spans="1:14" s="9" customFormat="1" ht="13.5" customHeight="1">
      <c r="A1" s="73"/>
      <c r="B1" s="74"/>
      <c r="C1" s="75"/>
      <c r="F1" s="103" t="s">
        <v>809</v>
      </c>
      <c r="G1" s="103"/>
      <c r="H1" s="103"/>
      <c r="I1" s="103"/>
      <c r="J1" s="103"/>
      <c r="K1" s="103"/>
      <c r="L1" s="103"/>
      <c r="M1" s="76"/>
      <c r="N1" s="76"/>
    </row>
    <row r="2" spans="1:14" s="79" customFormat="1" ht="12.75" customHeight="1">
      <c r="A2" s="77"/>
      <c r="B2" s="77"/>
      <c r="C2" s="77"/>
      <c r="D2" s="77"/>
      <c r="E2" s="77"/>
      <c r="F2" s="77"/>
      <c r="G2" s="77"/>
      <c r="H2" s="77"/>
      <c r="I2" s="77"/>
      <c r="J2" s="78"/>
      <c r="K2" s="78"/>
      <c r="L2" s="78"/>
      <c r="M2" s="78"/>
      <c r="N2" s="78"/>
    </row>
    <row r="3" spans="1:14" s="89" customFormat="1" ht="15.75" customHeight="1">
      <c r="A3" s="88"/>
      <c r="B3" s="104" t="s">
        <v>799</v>
      </c>
      <c r="C3" s="104"/>
      <c r="D3" s="104"/>
      <c r="E3" s="104"/>
      <c r="I3" s="90"/>
      <c r="J3" s="104" t="s">
        <v>800</v>
      </c>
      <c r="K3" s="104"/>
      <c r="L3" s="104"/>
      <c r="M3" s="104"/>
      <c r="N3" s="104"/>
    </row>
    <row r="4" spans="1:28" s="89" customFormat="1" ht="15.75" customHeight="1">
      <c r="A4" s="88"/>
      <c r="B4" s="104" t="s">
        <v>801</v>
      </c>
      <c r="C4" s="104"/>
      <c r="D4" s="104"/>
      <c r="E4" s="104"/>
      <c r="I4" s="90"/>
      <c r="J4" s="104" t="s">
        <v>802</v>
      </c>
      <c r="K4" s="104"/>
      <c r="L4" s="104"/>
      <c r="M4" s="104"/>
      <c r="N4" s="104"/>
      <c r="AB4" s="91"/>
    </row>
    <row r="5" spans="1:28" s="89" customFormat="1" ht="15.75" customHeight="1">
      <c r="A5" s="88"/>
      <c r="B5" s="104" t="s">
        <v>803</v>
      </c>
      <c r="C5" s="104"/>
      <c r="D5" s="104"/>
      <c r="E5" s="104"/>
      <c r="I5" s="90"/>
      <c r="J5" s="104" t="s">
        <v>804</v>
      </c>
      <c r="K5" s="104"/>
      <c r="L5" s="104"/>
      <c r="M5" s="104"/>
      <c r="N5" s="104"/>
      <c r="AB5" s="91" t="str">
        <f>CONCATENATE(IF('[1]Source'!AH14&lt;&gt;"",'[1]Source'!AH14," "),"__________")</f>
        <v> __________</v>
      </c>
    </row>
    <row r="6" spans="1:14" s="89" customFormat="1" ht="15.75" customHeight="1">
      <c r="A6" s="88"/>
      <c r="B6" s="104" t="s">
        <v>807</v>
      </c>
      <c r="C6" s="104"/>
      <c r="D6" s="104"/>
      <c r="E6" s="104"/>
      <c r="I6" s="90"/>
      <c r="J6" s="104" t="s">
        <v>807</v>
      </c>
      <c r="K6" s="104"/>
      <c r="L6" s="104"/>
      <c r="M6" s="104"/>
      <c r="N6" s="104"/>
    </row>
    <row r="7" spans="1:14" s="79" customFormat="1" ht="15.75">
      <c r="A7" s="77"/>
      <c r="B7" s="81"/>
      <c r="C7" s="81"/>
      <c r="D7" s="81"/>
      <c r="E7" s="81"/>
      <c r="F7" s="77"/>
      <c r="G7" s="77"/>
      <c r="H7" s="77"/>
      <c r="I7" s="77"/>
      <c r="J7" s="82"/>
      <c r="K7" s="82"/>
      <c r="L7" s="82"/>
      <c r="M7" s="82"/>
      <c r="N7" s="82"/>
    </row>
    <row r="8" spans="1:12" s="8" customFormat="1" ht="12.75">
      <c r="A8" s="83"/>
      <c r="B8" s="84"/>
      <c r="D8" s="85"/>
      <c r="E8" s="86"/>
      <c r="F8" s="85"/>
      <c r="G8" s="85"/>
      <c r="H8" s="85"/>
      <c r="I8" s="85"/>
      <c r="J8" s="85"/>
      <c r="K8" s="85"/>
      <c r="L8" s="85"/>
    </row>
    <row r="9" spans="1:12" s="8" customFormat="1" ht="12.75">
      <c r="A9" s="83"/>
      <c r="B9" s="84"/>
      <c r="D9" s="87" t="s">
        <v>808</v>
      </c>
      <c r="E9" s="86"/>
      <c r="F9" s="85"/>
      <c r="G9" s="87"/>
      <c r="H9" s="85"/>
      <c r="I9" s="85"/>
      <c r="J9" s="85"/>
      <c r="K9" s="85"/>
      <c r="L9" s="85"/>
    </row>
    <row r="10" spans="1:12" s="8" customFormat="1" ht="18" customHeight="1">
      <c r="A10" s="83"/>
      <c r="B10" s="84"/>
      <c r="C10" s="105" t="s">
        <v>805</v>
      </c>
      <c r="D10" s="105"/>
      <c r="E10" s="105"/>
      <c r="F10" s="105"/>
      <c r="G10" s="105"/>
      <c r="H10" s="105"/>
      <c r="I10" s="80"/>
      <c r="J10" s="80"/>
      <c r="K10" s="85"/>
      <c r="L10" s="85"/>
    </row>
    <row r="11" spans="1:14" ht="15">
      <c r="A11" s="97" t="s">
        <v>665</v>
      </c>
      <c r="B11" s="97" t="s">
        <v>666</v>
      </c>
      <c r="C11" s="97" t="s">
        <v>667</v>
      </c>
      <c r="D11" s="97" t="s">
        <v>668</v>
      </c>
      <c r="E11" s="100" t="s">
        <v>669</v>
      </c>
      <c r="F11" s="102"/>
      <c r="G11" s="100" t="s">
        <v>670</v>
      </c>
      <c r="H11" s="101"/>
      <c r="I11" s="101"/>
      <c r="J11" s="101"/>
      <c r="K11" s="101"/>
      <c r="L11" s="102"/>
      <c r="M11" s="97" t="s">
        <v>671</v>
      </c>
      <c r="N11" s="97" t="s">
        <v>672</v>
      </c>
    </row>
    <row r="12" spans="1:14" ht="15">
      <c r="A12" s="98"/>
      <c r="B12" s="98"/>
      <c r="C12" s="98"/>
      <c r="D12" s="98"/>
      <c r="E12" s="97" t="s">
        <v>673</v>
      </c>
      <c r="F12" s="97" t="s">
        <v>260</v>
      </c>
      <c r="G12" s="97" t="s">
        <v>673</v>
      </c>
      <c r="H12" s="97" t="s">
        <v>674</v>
      </c>
      <c r="I12" s="100" t="s">
        <v>675</v>
      </c>
      <c r="J12" s="101"/>
      <c r="K12" s="101"/>
      <c r="L12" s="102"/>
      <c r="M12" s="98"/>
      <c r="N12" s="98"/>
    </row>
    <row r="13" spans="1:14" ht="30">
      <c r="A13" s="99"/>
      <c r="B13" s="99"/>
      <c r="C13" s="99"/>
      <c r="D13" s="99"/>
      <c r="E13" s="99"/>
      <c r="F13" s="99"/>
      <c r="G13" s="99"/>
      <c r="H13" s="99"/>
      <c r="I13" s="45" t="s">
        <v>676</v>
      </c>
      <c r="J13" s="45" t="s">
        <v>237</v>
      </c>
      <c r="K13" s="45" t="s">
        <v>677</v>
      </c>
      <c r="L13" s="45" t="s">
        <v>678</v>
      </c>
      <c r="M13" s="99"/>
      <c r="N13" s="99"/>
    </row>
    <row r="14" spans="1:14" ht="15">
      <c r="A14" s="45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5">
        <v>9</v>
      </c>
      <c r="J14" s="45">
        <v>10</v>
      </c>
      <c r="K14" s="45">
        <v>11</v>
      </c>
      <c r="L14" s="45">
        <v>12</v>
      </c>
      <c r="M14" s="45">
        <v>13</v>
      </c>
      <c r="N14" s="45">
        <v>14</v>
      </c>
    </row>
    <row r="15" spans="1:26" ht="82.5">
      <c r="A15" s="11" t="str">
        <f>IF(Source!E24&lt;&gt;"",Source!E24,"")</f>
        <v>1</v>
      </c>
      <c r="B15" s="11" t="str">
        <f>IF(Source!F24&lt;&gt;"",Source!F24,"")</f>
        <v>10-06-040-2</v>
      </c>
      <c r="C15" s="11" t="s">
        <v>679</v>
      </c>
      <c r="D15" s="12" t="str">
        <f>IF(Source!H24&lt;&gt;"",Source!H24,"")</f>
        <v>100 м2 потолка</v>
      </c>
      <c r="E15" s="12" t="str">
        <f>IF(Source!J24=0," ",Source!J24)</f>
        <v> </v>
      </c>
      <c r="F15" s="13">
        <f>Source!I24</f>
        <v>0.388</v>
      </c>
      <c r="G15" s="14">
        <f>IF(Source!AB24=0," ",Source!AB24)</f>
        <v>108559.7</v>
      </c>
      <c r="H15" s="15">
        <f>IF(Source!O24=0," ",Source!O24)</f>
        <v>42121</v>
      </c>
      <c r="I15" s="15">
        <f>IF(Source!S24=0," ",Source!S24)</f>
        <v>6267</v>
      </c>
      <c r="J15" s="15">
        <f>IF(Source!Q24=0," ",Source!Q24)</f>
        <v>36</v>
      </c>
      <c r="K15" s="15" t="str">
        <f>IF(Source!R24=0," ",Source!R24)</f>
        <v> </v>
      </c>
      <c r="L15" s="15">
        <f>IF(Source!P24=0," ",Source!P24)</f>
        <v>35818</v>
      </c>
      <c r="M15" s="16">
        <f>IF(Source!U24=0," ",ROUND(Source!U24,6))</f>
        <v>46.851</v>
      </c>
      <c r="N15" s="16" t="str">
        <f>IF(Source!V24=0," ",ROUND(Source!V24,6))</f>
        <v> </v>
      </c>
      <c r="T15">
        <f>IF(Source!O24=0," ",Source!O24)</f>
        <v>42121</v>
      </c>
      <c r="U15">
        <v>35818</v>
      </c>
      <c r="V15">
        <f>IF(Source!S24=0," ",Source!S24)</f>
        <v>6267</v>
      </c>
      <c r="W15">
        <f>IF(Source!Q24=0," ",Source!Q24)</f>
        <v>36</v>
      </c>
      <c r="X15" t="str">
        <f>IF(Source!R24=0," ",Source!R24)</f>
        <v> </v>
      </c>
      <c r="Y15">
        <f>IF(Source!U24=0," ",ROUND(Source!U24,6))</f>
        <v>46.851</v>
      </c>
      <c r="Z15" t="str">
        <f>IF(Source!V24=0," ",ROUND(Source!V24,6))</f>
        <v> </v>
      </c>
    </row>
    <row r="16" spans="1:14" ht="15">
      <c r="A16" s="46"/>
      <c r="B16" s="46"/>
      <c r="C16" s="17" t="s">
        <v>257</v>
      </c>
      <c r="D16" s="18" t="str">
        <f>CONCATENATE(Source!AT24," %")</f>
        <v>90,27 %</v>
      </c>
      <c r="E16" s="18"/>
      <c r="F16" s="18"/>
      <c r="G16" s="18"/>
      <c r="H16" s="19">
        <f>Source!X24</f>
        <v>5657</v>
      </c>
      <c r="I16" s="46"/>
      <c r="J16" s="46"/>
      <c r="K16" s="46"/>
      <c r="L16" s="46"/>
      <c r="M16" s="46"/>
      <c r="N16" s="46"/>
    </row>
    <row r="17" spans="1:14" ht="15">
      <c r="A17" s="46"/>
      <c r="B17" s="46"/>
      <c r="C17" s="17" t="s">
        <v>259</v>
      </c>
      <c r="D17" s="18" t="str">
        <f>CONCATENATE(Source!AU24," %")</f>
        <v>42,84 %</v>
      </c>
      <c r="E17" s="18"/>
      <c r="F17" s="18"/>
      <c r="G17" s="18"/>
      <c r="H17" s="19">
        <f>Source!Y24</f>
        <v>2685</v>
      </c>
      <c r="I17" s="46"/>
      <c r="J17" s="46"/>
      <c r="K17" s="46"/>
      <c r="L17" s="46"/>
      <c r="M17" s="46"/>
      <c r="N17" s="46"/>
    </row>
    <row r="18" spans="1:14" ht="14.25">
      <c r="A18" s="47"/>
      <c r="B18" s="47"/>
      <c r="C18" s="20" t="s">
        <v>680</v>
      </c>
      <c r="D18" s="21"/>
      <c r="E18" s="21"/>
      <c r="F18" s="21"/>
      <c r="G18" s="21"/>
      <c r="H18" s="22">
        <f>SUMIF(Source!AA24:Source!AA24,"=26994759",Source!GM24:Source!GM24)</f>
        <v>50463</v>
      </c>
      <c r="I18" s="47"/>
      <c r="J18" s="47"/>
      <c r="K18" s="47"/>
      <c r="L18" s="47"/>
      <c r="M18" s="47"/>
      <c r="N18" s="47"/>
    </row>
    <row r="19" spans="1:14" ht="43.5">
      <c r="A19" s="23"/>
      <c r="B19" s="26" t="str">
        <f>SmtRes!I1</f>
        <v>1-1035</v>
      </c>
      <c r="C19" s="26" t="s">
        <v>681</v>
      </c>
      <c r="D19" s="24" t="str">
        <f>SmtRes!O1</f>
        <v>чел.-ч</v>
      </c>
      <c r="E19" s="24">
        <f>SmtRes!Y1</f>
        <v>120.74999999999999</v>
      </c>
      <c r="F19" s="24">
        <f>SmtRes!Y1*Source!I24</f>
        <v>46.851</v>
      </c>
      <c r="G19" s="27">
        <f>(SmtRes!AA1+SmtRes!AB1+SmtRes!AD1)</f>
        <v>133.77</v>
      </c>
      <c r="H19" s="28">
        <f>(SmtRes!AA1*SmtRes!Y1*Source!I24+SmtRes!AB1*SmtRes!Y1*Source!I24+SmtRes!AD1*SmtRes!Y1*Source!I24)</f>
        <v>6267.25827</v>
      </c>
      <c r="I19" s="28">
        <f>SmtRes!AD1*SmtRes!Y1*Source!I24</f>
        <v>6267.25827</v>
      </c>
      <c r="J19" s="24"/>
      <c r="K19" s="24"/>
      <c r="L19" s="24"/>
      <c r="M19" s="24"/>
      <c r="N19" s="25"/>
    </row>
    <row r="20" spans="1:14" ht="28.5">
      <c r="A20" s="29"/>
      <c r="B20" s="32" t="str">
        <f>SmtRes!I2</f>
        <v>134041</v>
      </c>
      <c r="C20" s="32" t="s">
        <v>682</v>
      </c>
      <c r="D20" s="30" t="str">
        <f>SmtRes!O2</f>
        <v>маш.-ч</v>
      </c>
      <c r="E20" s="30">
        <f>SmtRes!Y2</f>
        <v>3.625</v>
      </c>
      <c r="F20" s="30">
        <f>SmtRes!Y2*Source!I24</f>
        <v>1.4065</v>
      </c>
      <c r="G20" s="33">
        <f>(SmtRes!AA2+SmtRes!AB2+SmtRes!AD2)</f>
        <v>11.91</v>
      </c>
      <c r="H20" s="34">
        <f>(SmtRes!AA2*SmtRes!Y2*Source!I24+SmtRes!AB2*SmtRes!Y2*Source!I24+SmtRes!AD2*SmtRes!Y2*Source!I24)</f>
        <v>16.751415</v>
      </c>
      <c r="I20" s="30"/>
      <c r="J20" s="34">
        <f>SmtRes!AB2*SmtRes!Y2*Source!I24</f>
        <v>16.751415</v>
      </c>
      <c r="K20" s="34">
        <f>SmtRes!AC2*SmtRes!Y2*Source!I24</f>
        <v>0</v>
      </c>
      <c r="L20" s="30"/>
      <c r="M20" s="30"/>
      <c r="N20" s="31"/>
    </row>
    <row r="21" spans="1:14" ht="28.5">
      <c r="A21" s="29"/>
      <c r="B21" s="32" t="str">
        <f>SmtRes!I3</f>
        <v>330901</v>
      </c>
      <c r="C21" s="32" t="s">
        <v>683</v>
      </c>
      <c r="D21" s="30" t="str">
        <f>SmtRes!O3</f>
        <v>маш.-ч</v>
      </c>
      <c r="E21" s="30">
        <f>SmtRes!Y3</f>
        <v>0.3125</v>
      </c>
      <c r="F21" s="30">
        <f>SmtRes!Y3*Source!I24</f>
        <v>0.12125</v>
      </c>
      <c r="G21" s="33">
        <f>(SmtRes!AA3+SmtRes!AB3+SmtRes!AD3)</f>
        <v>114.51</v>
      </c>
      <c r="H21" s="34">
        <f>(SmtRes!AA3*SmtRes!Y3*Source!I24+SmtRes!AB3*SmtRes!Y3*Source!I24+SmtRes!AD3*SmtRes!Y3*Source!I24)</f>
        <v>13.884337500000003</v>
      </c>
      <c r="I21" s="30"/>
      <c r="J21" s="34">
        <f>SmtRes!AB3*SmtRes!Y3*Source!I24</f>
        <v>13.884337500000003</v>
      </c>
      <c r="K21" s="34">
        <f>SmtRes!AC3*SmtRes!Y3*Source!I24</f>
        <v>0</v>
      </c>
      <c r="L21" s="30"/>
      <c r="M21" s="30"/>
      <c r="N21" s="31"/>
    </row>
    <row r="22" spans="1:14" ht="28.5">
      <c r="A22" s="29"/>
      <c r="B22" s="32" t="str">
        <f>SmtRes!I4</f>
        <v>331451</v>
      </c>
      <c r="C22" s="32" t="s">
        <v>684</v>
      </c>
      <c r="D22" s="30" t="str">
        <f>SmtRes!O4</f>
        <v>маш.-ч</v>
      </c>
      <c r="E22" s="30">
        <f>SmtRes!Y4</f>
        <v>1.625</v>
      </c>
      <c r="F22" s="30">
        <f>SmtRes!Y4*Source!I24</f>
        <v>0.6305000000000001</v>
      </c>
      <c r="G22" s="33">
        <f>(SmtRes!AA4+SmtRes!AB4+SmtRes!AD4)</f>
        <v>8.26</v>
      </c>
      <c r="H22" s="34">
        <f>(SmtRes!AA4*SmtRes!Y4*Source!I24+SmtRes!AB4*SmtRes!Y4*Source!I24+SmtRes!AD4*SmtRes!Y4*Source!I24)</f>
        <v>5.20793</v>
      </c>
      <c r="I22" s="30"/>
      <c r="J22" s="34">
        <f>SmtRes!AB4*SmtRes!Y4*Source!I24</f>
        <v>5.20793</v>
      </c>
      <c r="K22" s="34">
        <f>SmtRes!AC4*SmtRes!Y4*Source!I24</f>
        <v>0</v>
      </c>
      <c r="L22" s="30"/>
      <c r="M22" s="30"/>
      <c r="N22" s="31"/>
    </row>
    <row r="23" spans="1:14" ht="15">
      <c r="A23" s="29"/>
      <c r="B23" s="32">
        <f>SmtRes!I5</f>
      </c>
      <c r="C23" s="32" t="str">
        <f>SmtRes!K5</f>
        <v>Лента серпянка 50 м</v>
      </c>
      <c r="D23" s="30" t="str">
        <f>SmtRes!O5</f>
        <v>ШТ</v>
      </c>
      <c r="E23" s="30">
        <f>SmtRes!Y5</f>
        <v>2.46</v>
      </c>
      <c r="F23" s="30">
        <f>SmtRes!Y5*Source!I24</f>
        <v>0.95448</v>
      </c>
      <c r="G23" s="33">
        <f>(SmtRes!AA5+SmtRes!AB5+SmtRes!AD5)</f>
        <v>114</v>
      </c>
      <c r="H23" s="34">
        <f>(SmtRes!AA5*SmtRes!Y5*Source!I24+SmtRes!AB5*SmtRes!Y5*Source!I24+SmtRes!AD5*SmtRes!Y5*Source!I24)</f>
        <v>108.81072</v>
      </c>
      <c r="I23" s="30"/>
      <c r="J23" s="30"/>
      <c r="K23" s="30"/>
      <c r="L23" s="34">
        <f>SmtRes!AA5*SmtRes!Y5*Source!I24</f>
        <v>108.81072</v>
      </c>
      <c r="M23" s="30"/>
      <c r="N23" s="31"/>
    </row>
    <row r="24" spans="1:14" ht="15">
      <c r="A24" s="29"/>
      <c r="B24" s="32">
        <f>SmtRes!I6</f>
      </c>
      <c r="C24" s="32" t="str">
        <f>SmtRes!K6</f>
        <v>Профиль ПГС 100С 1,0 мм</v>
      </c>
      <c r="D24" s="30" t="str">
        <f>SmtRes!O6</f>
        <v>м</v>
      </c>
      <c r="E24" s="30">
        <f>SmtRes!Y6</f>
        <v>421</v>
      </c>
      <c r="F24" s="30">
        <f>SmtRes!Y6*Source!I24</f>
        <v>163.348</v>
      </c>
      <c r="G24" s="33">
        <f>(SmtRes!AA6+SmtRes!AB6+SmtRes!AD6)</f>
        <v>171.18</v>
      </c>
      <c r="H24" s="34">
        <f>(SmtRes!AA6*SmtRes!Y6*Source!I24+SmtRes!AB6*SmtRes!Y6*Source!I24+SmtRes!AD6*SmtRes!Y6*Source!I24)</f>
        <v>27961.910640000002</v>
      </c>
      <c r="I24" s="30"/>
      <c r="J24" s="30"/>
      <c r="K24" s="30"/>
      <c r="L24" s="34">
        <f>SmtRes!AA6*SmtRes!Y6*Source!I24</f>
        <v>27961.910640000002</v>
      </c>
      <c r="M24" s="30"/>
      <c r="N24" s="31"/>
    </row>
    <row r="25" spans="1:14" ht="15">
      <c r="A25" s="29"/>
      <c r="B25" s="32" t="str">
        <f>SmtRes!I7</f>
        <v>101-2430</v>
      </c>
      <c r="C25" s="32" t="str">
        <f>SmtRes!K7</f>
        <v>Грунтовка «Тифенгрунд», КНАУФ</v>
      </c>
      <c r="D25" s="30" t="str">
        <f>SmtRes!O7</f>
        <v>кг</v>
      </c>
      <c r="E25" s="30">
        <f>SmtRes!Y7</f>
        <v>11</v>
      </c>
      <c r="F25" s="30">
        <f>SmtRes!Y7*Source!I24</f>
        <v>4.268</v>
      </c>
      <c r="G25" s="33">
        <f>(SmtRes!AA7+SmtRes!AB7+SmtRes!AD7)</f>
        <v>35.59</v>
      </c>
      <c r="H25" s="34">
        <f>(SmtRes!AA7*SmtRes!Y7*Source!I24+SmtRes!AB7*SmtRes!Y7*Source!I24+SmtRes!AD7*SmtRes!Y7*Source!I24)</f>
        <v>151.89812</v>
      </c>
      <c r="I25" s="30"/>
      <c r="J25" s="30"/>
      <c r="K25" s="30"/>
      <c r="L25" s="34">
        <f>SmtRes!AA7*SmtRes!Y7*Source!I24</f>
        <v>151.89812</v>
      </c>
      <c r="M25" s="30"/>
      <c r="N25" s="31"/>
    </row>
    <row r="26" spans="1:14" ht="15">
      <c r="A26" s="29"/>
      <c r="B26" s="32" t="str">
        <f>SmtRes!I8</f>
        <v>101-2439</v>
      </c>
      <c r="C26" s="32" t="str">
        <f>SmtRes!K8</f>
        <v>Шпаклевка гипсовая</v>
      </c>
      <c r="D26" s="30" t="str">
        <f>SmtRes!O8</f>
        <v>кг</v>
      </c>
      <c r="E26" s="30">
        <f>SmtRes!Y8</f>
        <v>56</v>
      </c>
      <c r="F26" s="30">
        <f>SmtRes!Y8*Source!I24</f>
        <v>21.728</v>
      </c>
      <c r="G26" s="33">
        <f>(SmtRes!AA8+SmtRes!AB8+SmtRes!AD8)</f>
        <v>15.15</v>
      </c>
      <c r="H26" s="34">
        <f>(SmtRes!AA8*SmtRes!Y8*Source!I24+SmtRes!AB8*SmtRes!Y8*Source!I24+SmtRes!AD8*SmtRes!Y8*Source!I24)</f>
        <v>329.1792</v>
      </c>
      <c r="I26" s="30"/>
      <c r="J26" s="30"/>
      <c r="K26" s="30"/>
      <c r="L26" s="34">
        <f>SmtRes!AA8*SmtRes!Y8*Source!I24</f>
        <v>329.1792</v>
      </c>
      <c r="M26" s="30"/>
      <c r="N26" s="31"/>
    </row>
    <row r="27" spans="1:14" ht="15">
      <c r="A27" s="29"/>
      <c r="B27" s="32" t="str">
        <f>SmtRes!I9</f>
        <v>101-2515</v>
      </c>
      <c r="C27" s="32" t="str">
        <f>SmtRes!K9</f>
        <v>Листы ГВЛВ</v>
      </c>
      <c r="D27" s="30" t="str">
        <f>SmtRes!O9</f>
        <v>м2</v>
      </c>
      <c r="E27" s="30">
        <f>SmtRes!Y9</f>
        <v>111</v>
      </c>
      <c r="F27" s="30">
        <f>SmtRes!Y9*Source!I24</f>
        <v>43.068</v>
      </c>
      <c r="G27" s="33">
        <f>(SmtRes!AA9+SmtRes!AB9+SmtRes!AD9)</f>
        <v>150</v>
      </c>
      <c r="H27" s="34">
        <f>(SmtRes!AA9*SmtRes!Y9*Source!I24+SmtRes!AB9*SmtRes!Y9*Source!I24+SmtRes!AD9*SmtRes!Y9*Source!I24)</f>
        <v>6460.2</v>
      </c>
      <c r="I27" s="30"/>
      <c r="J27" s="30"/>
      <c r="K27" s="30"/>
      <c r="L27" s="34">
        <f>SmtRes!AA9*SmtRes!Y9*Source!I24</f>
        <v>6460.2</v>
      </c>
      <c r="M27" s="30"/>
      <c r="N27" s="31"/>
    </row>
    <row r="28" spans="1:14" ht="30">
      <c r="A28" s="29"/>
      <c r="B28" s="32" t="str">
        <f>SmtRes!I10</f>
        <v>101-2582</v>
      </c>
      <c r="C28" s="32" t="str">
        <f>SmtRes!K10</f>
        <v>Шуруп самонарезающий (TN) 3,5*25 мм</v>
      </c>
      <c r="D28" s="30" t="str">
        <f>SmtRes!O10</f>
        <v>шт.</v>
      </c>
      <c r="E28" s="30">
        <f>SmtRes!Y10</f>
        <v>3132</v>
      </c>
      <c r="F28" s="30">
        <f>SmtRes!Y10*Source!I24</f>
        <v>1215.2160000000001</v>
      </c>
      <c r="G28" s="33">
        <f>(SmtRes!AA10+SmtRes!AB10+SmtRes!AD10)</f>
        <v>0.4</v>
      </c>
      <c r="H28" s="34">
        <f>(SmtRes!AA10*SmtRes!Y10*Source!I24+SmtRes!AB10*SmtRes!Y10*Source!I24+SmtRes!AD10*SmtRes!Y10*Source!I24)</f>
        <v>486.0864000000001</v>
      </c>
      <c r="I28" s="30"/>
      <c r="J28" s="30"/>
      <c r="K28" s="30"/>
      <c r="L28" s="34">
        <f>SmtRes!AA10*SmtRes!Y10*Source!I24</f>
        <v>486.0864000000001</v>
      </c>
      <c r="M28" s="30"/>
      <c r="N28" s="31"/>
    </row>
    <row r="29" spans="1:14" ht="15">
      <c r="A29" s="35"/>
      <c r="B29" s="36" t="str">
        <f>SmtRes!I11</f>
        <v>101-2589</v>
      </c>
      <c r="C29" s="36" t="str">
        <f>SmtRes!K11</f>
        <v>Дюбель-гвоздь6*80</v>
      </c>
      <c r="D29" s="37" t="str">
        <f>SmtRes!O11</f>
        <v>шт.</v>
      </c>
      <c r="E29" s="37">
        <f>SmtRes!Y11</f>
        <v>389</v>
      </c>
      <c r="F29" s="37">
        <f>SmtRes!Y11*Source!I24</f>
        <v>150.93200000000002</v>
      </c>
      <c r="G29" s="38">
        <f>(SmtRes!AA11+SmtRes!AB11+SmtRes!AD11)</f>
        <v>2.12</v>
      </c>
      <c r="H29" s="39">
        <f>(SmtRes!AA11*SmtRes!Y11*Source!I24+SmtRes!AB11*SmtRes!Y11*Source!I24+SmtRes!AD11*SmtRes!Y11*Source!I24)</f>
        <v>319.97584000000006</v>
      </c>
      <c r="I29" s="37"/>
      <c r="J29" s="37"/>
      <c r="K29" s="37"/>
      <c r="L29" s="39">
        <f>SmtRes!AA11*SmtRes!Y11*Source!I24</f>
        <v>319.97584000000006</v>
      </c>
      <c r="M29" s="37"/>
      <c r="N29" s="40"/>
    </row>
    <row r="30" spans="1:26" ht="39.75">
      <c r="A30" s="11" t="str">
        <f>IF(Source!E25&lt;&gt;"",Source!E25,"")</f>
        <v>2</v>
      </c>
      <c r="B30" s="11" t="str">
        <f>IF(Source!F25&lt;&gt;"",Source!F25,"")</f>
        <v>10-01-022-3</v>
      </c>
      <c r="C30" s="11" t="s">
        <v>685</v>
      </c>
      <c r="D30" s="12" t="str">
        <f>IF(Source!H25&lt;&gt;"",Source!H25,"")</f>
        <v>100 м2</v>
      </c>
      <c r="E30" s="12" t="str">
        <f>IF(Source!J25=0," ",Source!J25)</f>
        <v> </v>
      </c>
      <c r="F30" s="13">
        <f>Source!I25</f>
        <v>0.388</v>
      </c>
      <c r="G30" s="14">
        <f>IF(Source!AB25=0," ",Source!AB25)</f>
        <v>26830.13</v>
      </c>
      <c r="H30" s="15">
        <f>IF(Source!O25=0," ",Source!O25)</f>
        <v>10410</v>
      </c>
      <c r="I30" s="15">
        <f>IF(Source!S25=0," ",Source!S25)</f>
        <v>3812</v>
      </c>
      <c r="J30" s="15">
        <f>IF(Source!Q25=0," ",Source!Q25)</f>
        <v>1</v>
      </c>
      <c r="K30" s="15" t="str">
        <f>IF(Source!R25=0," ",Source!R25)</f>
        <v> </v>
      </c>
      <c r="L30" s="15">
        <f>IF(Source!P25=0," ",Source!P25)</f>
        <v>6597</v>
      </c>
      <c r="M30" s="16">
        <f>IF(Source!U25=0," ",ROUND(Source!U25,6))</f>
        <v>29.94002</v>
      </c>
      <c r="N30" s="16">
        <f>IF(Source!V25=0," ",ROUND(Source!V25,6))</f>
        <v>0.2619</v>
      </c>
      <c r="T30">
        <f>IF(Source!O25=0," ",Source!O25)</f>
        <v>10410</v>
      </c>
      <c r="U30">
        <v>6597</v>
      </c>
      <c r="V30">
        <f>IF(Source!S25=0," ",Source!S25)</f>
        <v>3812</v>
      </c>
      <c r="W30">
        <f>IF(Source!Q25=0," ",Source!Q25)</f>
        <v>1</v>
      </c>
      <c r="X30" t="str">
        <f>IF(Source!R25=0," ",Source!R25)</f>
        <v> </v>
      </c>
      <c r="Y30">
        <f>IF(Source!U25=0," ",ROUND(Source!U25,6))</f>
        <v>29.94002</v>
      </c>
      <c r="Z30">
        <f>IF(Source!V25=0," ",ROUND(Source!V25,6))</f>
        <v>0.2619</v>
      </c>
    </row>
    <row r="31" spans="1:14" ht="15">
      <c r="A31" s="46"/>
      <c r="B31" s="46"/>
      <c r="C31" s="17" t="s">
        <v>257</v>
      </c>
      <c r="D31" s="18" t="str">
        <f>CONCATENATE(Source!AT25," %")</f>
        <v>90,27 %</v>
      </c>
      <c r="E31" s="18"/>
      <c r="F31" s="18"/>
      <c r="G31" s="18"/>
      <c r="H31" s="19">
        <f>Source!X25</f>
        <v>3441</v>
      </c>
      <c r="I31" s="46"/>
      <c r="J31" s="46"/>
      <c r="K31" s="46"/>
      <c r="L31" s="46"/>
      <c r="M31" s="46"/>
      <c r="N31" s="46"/>
    </row>
    <row r="32" spans="1:14" ht="15">
      <c r="A32" s="46"/>
      <c r="B32" s="46"/>
      <c r="C32" s="17" t="s">
        <v>259</v>
      </c>
      <c r="D32" s="18" t="str">
        <f>CONCATENATE(Source!AU25," %")</f>
        <v>42,84 %</v>
      </c>
      <c r="E32" s="18"/>
      <c r="F32" s="18"/>
      <c r="G32" s="18"/>
      <c r="H32" s="19">
        <f>Source!Y25</f>
        <v>1633</v>
      </c>
      <c r="I32" s="46"/>
      <c r="J32" s="46"/>
      <c r="K32" s="46"/>
      <c r="L32" s="46"/>
      <c r="M32" s="46"/>
      <c r="N32" s="46"/>
    </row>
    <row r="33" spans="1:14" ht="14.25">
      <c r="A33" s="47"/>
      <c r="B33" s="47"/>
      <c r="C33" s="20" t="s">
        <v>680</v>
      </c>
      <c r="D33" s="21"/>
      <c r="E33" s="21"/>
      <c r="F33" s="21"/>
      <c r="G33" s="21"/>
      <c r="H33" s="22">
        <f>SUMIF(Source!AA25:Source!AA25,"=26994759",Source!GM25:Source!GM25)</f>
        <v>15484</v>
      </c>
      <c r="I33" s="47"/>
      <c r="J33" s="47"/>
      <c r="K33" s="47"/>
      <c r="L33" s="47"/>
      <c r="M33" s="47"/>
      <c r="N33" s="47"/>
    </row>
    <row r="34" spans="1:14" ht="43.5">
      <c r="A34" s="23"/>
      <c r="B34" s="26" t="str">
        <f>SmtRes!I12</f>
        <v>1-3.1</v>
      </c>
      <c r="C34" s="26" t="s">
        <v>686</v>
      </c>
      <c r="D34" s="24" t="str">
        <f>SmtRes!O12</f>
        <v>чел.-ч</v>
      </c>
      <c r="E34" s="24">
        <f>SmtRes!Y12</f>
        <v>77.16499999999999</v>
      </c>
      <c r="F34" s="24">
        <f>SmtRes!Y12*Source!I25</f>
        <v>29.940019999999997</v>
      </c>
      <c r="G34" s="27">
        <f>(SmtRes!AA12+SmtRes!AB12+SmtRes!AD12)</f>
        <v>127.31</v>
      </c>
      <c r="H34" s="28">
        <f>(SmtRes!AA12*SmtRes!Y12*Source!I25+SmtRes!AB12*SmtRes!Y12*Source!I25+SmtRes!AD12*SmtRes!Y12*Source!I25)</f>
        <v>3811.6639462000003</v>
      </c>
      <c r="I34" s="28">
        <f>SmtRes!AD12*SmtRes!Y12*Source!I25</f>
        <v>3811.6639462000003</v>
      </c>
      <c r="J34" s="24"/>
      <c r="K34" s="24"/>
      <c r="L34" s="24"/>
      <c r="M34" s="24"/>
      <c r="N34" s="25"/>
    </row>
    <row r="35" spans="1:14" ht="28.5">
      <c r="A35" s="29"/>
      <c r="B35" s="32" t="str">
        <f>SmtRes!I13</f>
        <v>2</v>
      </c>
      <c r="C35" s="32" t="s">
        <v>687</v>
      </c>
      <c r="D35" s="30" t="str">
        <f>SmtRes!O13</f>
        <v>чел.час</v>
      </c>
      <c r="E35" s="30">
        <f>SmtRes!Y13</f>
        <v>0.675</v>
      </c>
      <c r="F35" s="30">
        <f>SmtRes!Y13*Source!I25</f>
        <v>0.2619</v>
      </c>
      <c r="G35" s="33">
        <f>(SmtRes!AA13+SmtRes!AB13+SmtRes!AD13)</f>
        <v>0</v>
      </c>
      <c r="H35" s="34">
        <f>(SmtRes!AA13*SmtRes!Y13*Source!I25+SmtRes!AB13*SmtRes!Y13*Source!I25+SmtRes!AD13*SmtRes!Y13*Source!I25)</f>
        <v>0</v>
      </c>
      <c r="I35" s="30"/>
      <c r="J35" s="30"/>
      <c r="K35" s="34">
        <f>SmtRes!AC13*SmtRes!Y13*Source!I25</f>
        <v>0</v>
      </c>
      <c r="L35" s="30"/>
      <c r="M35" s="30"/>
      <c r="N35" s="31"/>
    </row>
    <row r="36" spans="1:14" ht="28.5">
      <c r="A36" s="29"/>
      <c r="B36" s="32" t="str">
        <f>SmtRes!I14</f>
        <v>331531</v>
      </c>
      <c r="C36" s="32" t="s">
        <v>688</v>
      </c>
      <c r="D36" s="30" t="str">
        <f>SmtRes!O14</f>
        <v>маш.ч</v>
      </c>
      <c r="E36" s="30">
        <f>SmtRes!Y14</f>
        <v>0.8375</v>
      </c>
      <c r="F36" s="30">
        <f>SmtRes!Y14*Source!I25</f>
        <v>0.32495</v>
      </c>
      <c r="G36" s="33">
        <f>(SmtRes!AA14+SmtRes!AB14+SmtRes!AD14)</f>
        <v>4.12</v>
      </c>
      <c r="H36" s="34">
        <f>(SmtRes!AA14*SmtRes!Y14*Source!I25+SmtRes!AB14*SmtRes!Y14*Source!I25+SmtRes!AD14*SmtRes!Y14*Source!I25)</f>
        <v>1.3387940000000003</v>
      </c>
      <c r="I36" s="30"/>
      <c r="J36" s="34">
        <f>SmtRes!AB14*SmtRes!Y14*Source!I25</f>
        <v>1.3387940000000003</v>
      </c>
      <c r="K36" s="34">
        <f>SmtRes!AC14*SmtRes!Y14*Source!I25</f>
        <v>0</v>
      </c>
      <c r="L36" s="30"/>
      <c r="M36" s="30"/>
      <c r="N36" s="31"/>
    </row>
    <row r="37" spans="1:14" ht="15">
      <c r="A37" s="29"/>
      <c r="B37" s="32">
        <f>SmtRes!I15</f>
      </c>
      <c r="C37" s="32" t="str">
        <f>SmtRes!K15</f>
        <v>Листы ГВЛВ</v>
      </c>
      <c r="D37" s="30" t="str">
        <f>SmtRes!O15</f>
        <v>м2</v>
      </c>
      <c r="E37" s="30">
        <f>SmtRes!Y15</f>
        <v>105</v>
      </c>
      <c r="F37" s="30">
        <f>SmtRes!Y15*Source!I25</f>
        <v>40.74</v>
      </c>
      <c r="G37" s="33">
        <f>(SmtRes!AA15+SmtRes!AB15+SmtRes!AD15)</f>
        <v>150</v>
      </c>
      <c r="H37" s="34">
        <f>(SmtRes!AA15*SmtRes!Y15*Source!I25+SmtRes!AB15*SmtRes!Y15*Source!I25+SmtRes!AD15*SmtRes!Y15*Source!I25)</f>
        <v>6111</v>
      </c>
      <c r="I37" s="30"/>
      <c r="J37" s="30"/>
      <c r="K37" s="30"/>
      <c r="L37" s="34">
        <f>SmtRes!AA15*SmtRes!Y15*Source!I25</f>
        <v>6111</v>
      </c>
      <c r="M37" s="30"/>
      <c r="N37" s="31"/>
    </row>
    <row r="38" spans="1:14" ht="15">
      <c r="A38" s="35"/>
      <c r="B38" s="36">
        <f>SmtRes!I16</f>
      </c>
      <c r="C38" s="36" t="str">
        <f>SmtRes!K16</f>
        <v>Саморезы</v>
      </c>
      <c r="D38" s="37" t="str">
        <f>SmtRes!O16</f>
        <v>шт.</v>
      </c>
      <c r="E38" s="37">
        <f>SmtRes!Y16</f>
        <v>3132</v>
      </c>
      <c r="F38" s="37">
        <f>SmtRes!Y16*Source!I25</f>
        <v>1215.2160000000001</v>
      </c>
      <c r="G38" s="38">
        <f>(SmtRes!AA16+SmtRes!AB16+SmtRes!AD16)</f>
        <v>0.4</v>
      </c>
      <c r="H38" s="39">
        <f>(SmtRes!AA16*SmtRes!Y16*Source!I25+SmtRes!AB16*SmtRes!Y16*Source!I25+SmtRes!AD16*SmtRes!Y16*Source!I25)</f>
        <v>486.0864000000001</v>
      </c>
      <c r="I38" s="37"/>
      <c r="J38" s="37"/>
      <c r="K38" s="37"/>
      <c r="L38" s="39">
        <f>SmtRes!AA16*SmtRes!Y16*Source!I25</f>
        <v>486.0864000000001</v>
      </c>
      <c r="M38" s="37"/>
      <c r="N38" s="40"/>
    </row>
    <row r="39" spans="1:26" ht="68.25">
      <c r="A39" s="11" t="str">
        <f>IF(Source!E26&lt;&gt;"",Source!E26,"")</f>
        <v>3</v>
      </c>
      <c r="B39" s="11" t="str">
        <f>IF(Source!F26&lt;&gt;"",Source!F26,"")</f>
        <v>26-01-039-1</v>
      </c>
      <c r="C39" s="11" t="s">
        <v>689</v>
      </c>
      <c r="D39" s="12" t="str">
        <f>IF(Source!H26&lt;&gt;"",Source!H26,"")</f>
        <v>1 м3 изоляции</v>
      </c>
      <c r="E39" s="12" t="str">
        <f>IF(Source!J26=0," ",Source!J26)</f>
        <v> </v>
      </c>
      <c r="F39" s="13">
        <f>Source!I26</f>
        <v>3.88</v>
      </c>
      <c r="G39" s="14">
        <f>IF(Source!AB26=0," ",Source!AB26)</f>
        <v>6233.5</v>
      </c>
      <c r="H39" s="15">
        <f>IF(Source!O26=0," ",Source!O26)</f>
        <v>24186</v>
      </c>
      <c r="I39" s="15">
        <f>IF(Source!S26=0," ",Source!S26)</f>
        <v>6465</v>
      </c>
      <c r="J39" s="15">
        <f>IF(Source!Q26=0," ",Source!Q26)</f>
        <v>2101</v>
      </c>
      <c r="K39" s="15" t="str">
        <f>IF(Source!R26=0," ",Source!R26)</f>
        <v> </v>
      </c>
      <c r="L39" s="15">
        <f>IF(Source!P26=0," ",Source!P26)</f>
        <v>15620</v>
      </c>
      <c r="M39" s="16">
        <f>IF(Source!U26=0," ",ROUND(Source!U26,6))</f>
        <v>47.20796</v>
      </c>
      <c r="N39" s="16" t="str">
        <f>IF(Source!V26=0," ",ROUND(Source!V26,6))</f>
        <v> </v>
      </c>
      <c r="T39">
        <f>IF(Source!O26=0," ",Source!O26)</f>
        <v>24186</v>
      </c>
      <c r="U39">
        <v>15620</v>
      </c>
      <c r="V39">
        <f>IF(Source!S26=0," ",Source!S26)</f>
        <v>6465</v>
      </c>
      <c r="W39">
        <f>IF(Source!Q26=0," ",Source!Q26)</f>
        <v>2101</v>
      </c>
      <c r="X39" t="str">
        <f>IF(Source!R26=0," ",Source!R26)</f>
        <v> </v>
      </c>
      <c r="Y39">
        <f>IF(Source!U26=0," ",ROUND(Source!U26,6))</f>
        <v>47.20796</v>
      </c>
      <c r="Z39" t="str">
        <f>IF(Source!V26=0," ",ROUND(Source!V26,6))</f>
        <v> </v>
      </c>
    </row>
    <row r="40" spans="1:14" ht="15">
      <c r="A40" s="46"/>
      <c r="B40" s="46"/>
      <c r="C40" s="17" t="s">
        <v>257</v>
      </c>
      <c r="D40" s="18" t="str">
        <f>CONCATENATE(Source!AT26," %")</f>
        <v>76,5 %</v>
      </c>
      <c r="E40" s="18"/>
      <c r="F40" s="18"/>
      <c r="G40" s="18"/>
      <c r="H40" s="19">
        <f>Source!X26</f>
        <v>4946</v>
      </c>
      <c r="I40" s="46"/>
      <c r="J40" s="46"/>
      <c r="K40" s="46"/>
      <c r="L40" s="46"/>
      <c r="M40" s="46"/>
      <c r="N40" s="46"/>
    </row>
    <row r="41" spans="1:14" ht="15">
      <c r="A41" s="46"/>
      <c r="B41" s="46"/>
      <c r="C41" s="17" t="s">
        <v>259</v>
      </c>
      <c r="D41" s="18" t="str">
        <f>CONCATENATE(Source!AU26," %")</f>
        <v>47,6 %</v>
      </c>
      <c r="E41" s="18"/>
      <c r="F41" s="18"/>
      <c r="G41" s="18"/>
      <c r="H41" s="19">
        <f>Source!Y26</f>
        <v>3077</v>
      </c>
      <c r="I41" s="46"/>
      <c r="J41" s="46"/>
      <c r="K41" s="46"/>
      <c r="L41" s="46"/>
      <c r="M41" s="46"/>
      <c r="N41" s="46"/>
    </row>
    <row r="42" spans="1:14" ht="14.25">
      <c r="A42" s="47"/>
      <c r="B42" s="47"/>
      <c r="C42" s="20" t="s">
        <v>680</v>
      </c>
      <c r="D42" s="21"/>
      <c r="E42" s="21"/>
      <c r="F42" s="21"/>
      <c r="G42" s="21"/>
      <c r="H42" s="22">
        <f>SUMIF(Source!AA26:Source!AA26,"=26994759",Source!GM26:Source!GM26)</f>
        <v>32209</v>
      </c>
      <c r="I42" s="47"/>
      <c r="J42" s="47"/>
      <c r="K42" s="47"/>
      <c r="L42" s="47"/>
      <c r="M42" s="47"/>
      <c r="N42" s="47"/>
    </row>
    <row r="43" spans="1:14" ht="43.5">
      <c r="A43" s="23"/>
      <c r="B43" s="26" t="str">
        <f>SmtRes!I17</f>
        <v>1-1037</v>
      </c>
      <c r="C43" s="26" t="s">
        <v>690</v>
      </c>
      <c r="D43" s="24" t="str">
        <f>SmtRes!O17</f>
        <v>чел.-ч</v>
      </c>
      <c r="E43" s="24">
        <f>SmtRes!Y17</f>
        <v>12.167</v>
      </c>
      <c r="F43" s="24">
        <f>SmtRes!Y17*Source!I26</f>
        <v>47.20796</v>
      </c>
      <c r="G43" s="27">
        <f>(SmtRes!AA17+SmtRes!AB17+SmtRes!AD17)</f>
        <v>136.95</v>
      </c>
      <c r="H43" s="28">
        <f>(SmtRes!AA17*SmtRes!Y17*Source!I26+SmtRes!AB17*SmtRes!Y17*Source!I26+SmtRes!AD17*SmtRes!Y17*Source!I26)</f>
        <v>6465.130122</v>
      </c>
      <c r="I43" s="28">
        <f>SmtRes!AD17*SmtRes!Y17*Source!I26</f>
        <v>6465.130122</v>
      </c>
      <c r="J43" s="24"/>
      <c r="K43" s="24"/>
      <c r="L43" s="24"/>
      <c r="M43" s="24"/>
      <c r="N43" s="25"/>
    </row>
    <row r="44" spans="1:14" ht="43.5">
      <c r="A44" s="29"/>
      <c r="B44" s="32" t="str">
        <f>SmtRes!I18</f>
        <v>030403</v>
      </c>
      <c r="C44" s="32" t="s">
        <v>691</v>
      </c>
      <c r="D44" s="30" t="str">
        <f>SmtRes!O18</f>
        <v>маш.-ч</v>
      </c>
      <c r="E44" s="30">
        <f>SmtRes!Y18</f>
        <v>0.9375</v>
      </c>
      <c r="F44" s="30">
        <f>SmtRes!Y18*Source!I26</f>
        <v>3.6374999999999997</v>
      </c>
      <c r="G44" s="33">
        <f>(SmtRes!AA18+SmtRes!AB18+SmtRes!AD18)</f>
        <v>24.6</v>
      </c>
      <c r="H44" s="34">
        <f>(SmtRes!AA18*SmtRes!Y18*Source!I26+SmtRes!AB18*SmtRes!Y18*Source!I26+SmtRes!AD18*SmtRes!Y18*Source!I26)</f>
        <v>89.4825</v>
      </c>
      <c r="I44" s="30"/>
      <c r="J44" s="34">
        <f>SmtRes!AB18*SmtRes!Y18*Source!I26</f>
        <v>89.4825</v>
      </c>
      <c r="K44" s="34">
        <f>SmtRes!AC18*SmtRes!Y18*Source!I26</f>
        <v>0</v>
      </c>
      <c r="L44" s="30"/>
      <c r="M44" s="30"/>
      <c r="N44" s="31"/>
    </row>
    <row r="45" spans="1:14" ht="43.5">
      <c r="A45" s="29"/>
      <c r="B45" s="32" t="str">
        <f>SmtRes!I19</f>
        <v>400001</v>
      </c>
      <c r="C45" s="32" t="s">
        <v>692</v>
      </c>
      <c r="D45" s="30" t="str">
        <f>SmtRes!O19</f>
        <v>маш.-ч</v>
      </c>
      <c r="E45" s="30">
        <f>SmtRes!Y19</f>
        <v>0.75</v>
      </c>
      <c r="F45" s="30">
        <f>SmtRes!Y19*Source!I26</f>
        <v>2.91</v>
      </c>
      <c r="G45" s="33">
        <f>(SmtRes!AA19+SmtRes!AB19+SmtRes!AD19)</f>
        <v>691.3</v>
      </c>
      <c r="H45" s="34">
        <f>(SmtRes!AA19*SmtRes!Y19*Source!I26+SmtRes!AB19*SmtRes!Y19*Source!I26+SmtRes!AD19*SmtRes!Y19*Source!I26)</f>
        <v>2011.6829999999995</v>
      </c>
      <c r="I45" s="30"/>
      <c r="J45" s="34">
        <f>SmtRes!AB19*SmtRes!Y19*Source!I26</f>
        <v>2011.6829999999995</v>
      </c>
      <c r="K45" s="34">
        <f>SmtRes!AC19*SmtRes!Y19*Source!I26</f>
        <v>0</v>
      </c>
      <c r="L45" s="30"/>
      <c r="M45" s="30"/>
      <c r="N45" s="31"/>
    </row>
    <row r="46" spans="1:14" ht="15">
      <c r="A46" s="35"/>
      <c r="B46" s="36" t="str">
        <f>SmtRes!I20</f>
        <v>104-9163</v>
      </c>
      <c r="C46" s="36" t="str">
        <f>SmtRes!K20</f>
        <v>Изделия теплоизоляционные</v>
      </c>
      <c r="D46" s="37" t="str">
        <f>SmtRes!O20</f>
        <v>м3</v>
      </c>
      <c r="E46" s="37">
        <f>SmtRes!Y20</f>
        <v>1.02</v>
      </c>
      <c r="F46" s="37">
        <f>SmtRes!Y20*Source!I26</f>
        <v>3.9576</v>
      </c>
      <c r="G46" s="38">
        <f>(SmtRes!AA20+SmtRes!AB20+SmtRes!AD20)</f>
        <v>3946.75</v>
      </c>
      <c r="H46" s="39">
        <f>(SmtRes!AA20*SmtRes!Y20*Source!I26+SmtRes!AB20*SmtRes!Y20*Source!I26+SmtRes!AD20*SmtRes!Y20*Source!I26)</f>
        <v>15619.657799999999</v>
      </c>
      <c r="I46" s="37"/>
      <c r="J46" s="37"/>
      <c r="K46" s="37"/>
      <c r="L46" s="39">
        <f>SmtRes!AA20*SmtRes!Y20*Source!I26</f>
        <v>15619.657799999999</v>
      </c>
      <c r="M46" s="37"/>
      <c r="N46" s="40"/>
    </row>
    <row r="47" spans="1:26" ht="71.25">
      <c r="A47" s="11" t="str">
        <f>IF(Source!E27&lt;&gt;"",Source!E27,"")</f>
        <v>4</v>
      </c>
      <c r="B47" s="11" t="str">
        <f>IF(Source!F27&lt;&gt;"",Source!F27,"")</f>
        <v>26-01-055-2</v>
      </c>
      <c r="C47" s="11" t="s">
        <v>693</v>
      </c>
      <c r="D47" s="12" t="str">
        <f>IF(Source!H27&lt;&gt;"",Source!H27,"")</f>
        <v>100 м2 поверхности покрытия изоляции</v>
      </c>
      <c r="E47" s="12" t="str">
        <f>IF(Source!J27=0," ",Source!J27)</f>
        <v> </v>
      </c>
      <c r="F47" s="13">
        <f>Source!I27</f>
        <v>0.388</v>
      </c>
      <c r="G47" s="14">
        <f>IF(Source!AB27=0," ",Source!AB27)</f>
        <v>12157.66</v>
      </c>
      <c r="H47" s="15">
        <f>IF(Source!O27=0," ",Source!O27)</f>
        <v>4717</v>
      </c>
      <c r="I47" s="15">
        <f>IF(Source!S27=0," ",Source!S27)</f>
        <v>1652</v>
      </c>
      <c r="J47" s="15" t="str">
        <f>IF(Source!Q27=0," ",Source!Q27)</f>
        <v> </v>
      </c>
      <c r="K47" s="15" t="str">
        <f>IF(Source!R27=0," ",Source!R27)</f>
        <v> </v>
      </c>
      <c r="L47" s="15">
        <f>IF(Source!P27=0," ",Source!P27)</f>
        <v>3065</v>
      </c>
      <c r="M47" s="16">
        <f>IF(Source!U27=0," ",ROUND(Source!U27,6))</f>
        <v>12.814864</v>
      </c>
      <c r="N47" s="16" t="str">
        <f>IF(Source!V27=0," ",ROUND(Source!V27,6))</f>
        <v> </v>
      </c>
      <c r="T47">
        <f>IF(Source!O27=0," ",Source!O27)</f>
        <v>4717</v>
      </c>
      <c r="U47">
        <v>3065</v>
      </c>
      <c r="V47">
        <f>IF(Source!S27=0," ",Source!S27)</f>
        <v>1652</v>
      </c>
      <c r="W47" t="str">
        <f>IF(Source!Q27=0," ",Source!Q27)</f>
        <v> </v>
      </c>
      <c r="X47" t="str">
        <f>IF(Source!R27=0," ",Source!R27)</f>
        <v> </v>
      </c>
      <c r="Y47">
        <f>IF(Source!U27=0," ",ROUND(Source!U27,6))</f>
        <v>12.814864</v>
      </c>
      <c r="Z47" t="str">
        <f>IF(Source!V27=0," ",ROUND(Source!V27,6))</f>
        <v> </v>
      </c>
    </row>
    <row r="48" spans="1:14" ht="15">
      <c r="A48" s="46"/>
      <c r="B48" s="46"/>
      <c r="C48" s="17" t="s">
        <v>257</v>
      </c>
      <c r="D48" s="18" t="str">
        <f>CONCATENATE(Source!AT27," %")</f>
        <v>76,5 %</v>
      </c>
      <c r="E48" s="18"/>
      <c r="F48" s="18"/>
      <c r="G48" s="18"/>
      <c r="H48" s="19">
        <f>Source!X27</f>
        <v>1264</v>
      </c>
      <c r="I48" s="46"/>
      <c r="J48" s="46"/>
      <c r="K48" s="46"/>
      <c r="L48" s="46"/>
      <c r="M48" s="46"/>
      <c r="N48" s="46"/>
    </row>
    <row r="49" spans="1:14" ht="15">
      <c r="A49" s="46"/>
      <c r="B49" s="46"/>
      <c r="C49" s="17" t="s">
        <v>259</v>
      </c>
      <c r="D49" s="18" t="str">
        <f>CONCATENATE(Source!AU27," %")</f>
        <v>47,6 %</v>
      </c>
      <c r="E49" s="18"/>
      <c r="F49" s="18"/>
      <c r="G49" s="18"/>
      <c r="H49" s="19">
        <f>Source!Y27</f>
        <v>786</v>
      </c>
      <c r="I49" s="46"/>
      <c r="J49" s="46"/>
      <c r="K49" s="46"/>
      <c r="L49" s="46"/>
      <c r="M49" s="46"/>
      <c r="N49" s="46"/>
    </row>
    <row r="50" spans="1:14" ht="14.25">
      <c r="A50" s="47"/>
      <c r="B50" s="47"/>
      <c r="C50" s="20" t="s">
        <v>680</v>
      </c>
      <c r="D50" s="21"/>
      <c r="E50" s="21"/>
      <c r="F50" s="21"/>
      <c r="G50" s="21"/>
      <c r="H50" s="22">
        <f>SUMIF(Source!AA27:Source!AA27,"=26994759",Source!GM27:Source!GM27)</f>
        <v>6767</v>
      </c>
      <c r="I50" s="47"/>
      <c r="J50" s="47"/>
      <c r="K50" s="47"/>
      <c r="L50" s="47"/>
      <c r="M50" s="47"/>
      <c r="N50" s="47"/>
    </row>
    <row r="51" spans="1:14" ht="43.5">
      <c r="A51" s="23"/>
      <c r="B51" s="26" t="str">
        <f>SmtRes!I21</f>
        <v>1-1032</v>
      </c>
      <c r="C51" s="26" t="s">
        <v>694</v>
      </c>
      <c r="D51" s="24" t="str">
        <f>SmtRes!O21</f>
        <v>чел.-ч</v>
      </c>
      <c r="E51" s="24">
        <f>SmtRes!Y21</f>
        <v>33.028</v>
      </c>
      <c r="F51" s="24">
        <f>SmtRes!Y21*Source!I27</f>
        <v>12.814864</v>
      </c>
      <c r="G51" s="27">
        <f>(SmtRes!AA21+SmtRes!AB21+SmtRes!AD21)</f>
        <v>128.9</v>
      </c>
      <c r="H51" s="28">
        <f>(SmtRes!AA21*SmtRes!Y21*Source!I27+SmtRes!AB21*SmtRes!Y21*Source!I27+SmtRes!AD21*SmtRes!Y21*Source!I27)</f>
        <v>1651.8359696</v>
      </c>
      <c r="I51" s="28">
        <f>SmtRes!AD21*SmtRes!Y21*Source!I27</f>
        <v>1651.8359696</v>
      </c>
      <c r="J51" s="24"/>
      <c r="K51" s="24"/>
      <c r="L51" s="24"/>
      <c r="M51" s="24"/>
      <c r="N51" s="25"/>
    </row>
    <row r="52" spans="1:14" ht="43.5">
      <c r="A52" s="29"/>
      <c r="B52" s="32" t="str">
        <f>SmtRes!I22</f>
        <v>101-3594</v>
      </c>
      <c r="C52" s="32" t="s">
        <v>695</v>
      </c>
      <c r="D52" s="30" t="str">
        <f>SmtRes!O22</f>
        <v>шт.</v>
      </c>
      <c r="E52" s="30">
        <f>SmtRes!Y22</f>
        <v>14.846</v>
      </c>
      <c r="F52" s="30">
        <f>SmtRes!Y22*Source!I27</f>
        <v>5.760248</v>
      </c>
      <c r="G52" s="33">
        <f>(SmtRes!AA22+SmtRes!AB22+SmtRes!AD22)</f>
        <v>112</v>
      </c>
      <c r="H52" s="34">
        <f>(SmtRes!AA22*SmtRes!Y22*Source!I27+SmtRes!AB22*SmtRes!Y22*Source!I27+SmtRes!AD22*SmtRes!Y22*Source!I27)</f>
        <v>645.147776</v>
      </c>
      <c r="I52" s="30"/>
      <c r="J52" s="30"/>
      <c r="K52" s="30"/>
      <c r="L52" s="34">
        <f>SmtRes!AA22*SmtRes!Y22*Source!I27</f>
        <v>645.147776</v>
      </c>
      <c r="M52" s="30"/>
      <c r="N52" s="31"/>
    </row>
    <row r="53" spans="1:14" ht="28.5">
      <c r="A53" s="35"/>
      <c r="B53" s="36" t="str">
        <f>SmtRes!I23</f>
        <v>113-9462</v>
      </c>
      <c r="C53" s="36" t="s">
        <v>696</v>
      </c>
      <c r="D53" s="37" t="str">
        <f>SmtRes!O23</f>
        <v>м2</v>
      </c>
      <c r="E53" s="37">
        <f>SmtRes!Y23</f>
        <v>230</v>
      </c>
      <c r="F53" s="37">
        <f>SmtRes!Y23*Source!I27</f>
        <v>89.24000000000001</v>
      </c>
      <c r="G53" s="38">
        <f>(SmtRes!AA23+SmtRes!AB23+SmtRes!AD23)</f>
        <v>27.12</v>
      </c>
      <c r="H53" s="39">
        <f>(SmtRes!AA23*SmtRes!Y23*Source!I27+SmtRes!AB23*SmtRes!Y23*Source!I27+SmtRes!AD23*SmtRes!Y23*Source!I27)</f>
        <v>2420.1888000000004</v>
      </c>
      <c r="I53" s="37"/>
      <c r="J53" s="37"/>
      <c r="K53" s="37"/>
      <c r="L53" s="39">
        <f>SmtRes!AA23*SmtRes!Y23*Source!I27</f>
        <v>2420.1888000000004</v>
      </c>
      <c r="M53" s="37"/>
      <c r="N53" s="40"/>
    </row>
    <row r="54" spans="1:26" ht="68.25">
      <c r="A54" s="11" t="str">
        <f>IF(Source!E28&lt;&gt;"",Source!E28,"")</f>
        <v>5</v>
      </c>
      <c r="B54" s="11" t="str">
        <f>IF(Source!F28&lt;&gt;"",Source!F28,"")</f>
        <v>15-04-006-1</v>
      </c>
      <c r="C54" s="11" t="s">
        <v>697</v>
      </c>
      <c r="D54" s="12" t="str">
        <f>IF(Source!H28&lt;&gt;"",Source!H28,"")</f>
        <v>100 м2 покрытия</v>
      </c>
      <c r="E54" s="12" t="str">
        <f>IF(Source!J28=0," ",Source!J28)</f>
        <v> </v>
      </c>
      <c r="F54" s="13">
        <f>Source!I28</f>
        <v>0.388</v>
      </c>
      <c r="G54" s="14">
        <f>IF(Source!AB28=0," ",Source!AB28)</f>
        <v>1792.17</v>
      </c>
      <c r="H54" s="15">
        <f>IF(Source!O28=0," ",Source!O28)</f>
        <v>696</v>
      </c>
      <c r="I54" s="15">
        <f>IF(Source!S28=0," ",Source!S28)</f>
        <v>513</v>
      </c>
      <c r="J54" s="15">
        <f>IF(Source!Q28=0," ",Source!Q28)</f>
        <v>1</v>
      </c>
      <c r="K54" s="15" t="str">
        <f>IF(Source!R28=0," ",Source!R28)</f>
        <v> </v>
      </c>
      <c r="L54" s="15">
        <f>IF(Source!P28=0," ",Source!P28)</f>
        <v>182</v>
      </c>
      <c r="M54" s="16">
        <f>IF(Source!U28=0," ",ROUND(Source!U28,6))</f>
        <v>3.61422</v>
      </c>
      <c r="N54" s="16">
        <f>IF(Source!V28=0," ",ROUND(Source!V28,6))</f>
        <v>0.00485</v>
      </c>
      <c r="T54">
        <f>IF(Source!O28=0," ",Source!O28)</f>
        <v>696</v>
      </c>
      <c r="U54">
        <v>182</v>
      </c>
      <c r="V54">
        <f>IF(Source!S28=0," ",Source!S28)</f>
        <v>513</v>
      </c>
      <c r="W54">
        <f>IF(Source!Q28=0," ",Source!Q28)</f>
        <v>1</v>
      </c>
      <c r="X54" t="str">
        <f>IF(Source!R28=0," ",Source!R28)</f>
        <v> </v>
      </c>
      <c r="Y54">
        <f>IF(Source!U28=0," ",ROUND(Source!U28,6))</f>
        <v>3.61422</v>
      </c>
      <c r="Z54">
        <f>IF(Source!V28=0," ",ROUND(Source!V28,6))</f>
        <v>0.00485</v>
      </c>
    </row>
    <row r="55" spans="1:14" ht="15">
      <c r="A55" s="46"/>
      <c r="B55" s="46"/>
      <c r="C55" s="17" t="s">
        <v>257</v>
      </c>
      <c r="D55" s="18" t="str">
        <f>CONCATENATE(Source!AT28," %")</f>
        <v>80,33 %</v>
      </c>
      <c r="E55" s="18"/>
      <c r="F55" s="18"/>
      <c r="G55" s="18"/>
      <c r="H55" s="19">
        <f>Source!X28</f>
        <v>412</v>
      </c>
      <c r="I55" s="46"/>
      <c r="J55" s="46"/>
      <c r="K55" s="46"/>
      <c r="L55" s="46"/>
      <c r="M55" s="46"/>
      <c r="N55" s="46"/>
    </row>
    <row r="56" spans="1:14" ht="15">
      <c r="A56" s="46"/>
      <c r="B56" s="46"/>
      <c r="C56" s="17" t="s">
        <v>259</v>
      </c>
      <c r="D56" s="18" t="str">
        <f>CONCATENATE(Source!AU28," %")</f>
        <v>37,4 %</v>
      </c>
      <c r="E56" s="18"/>
      <c r="F56" s="18"/>
      <c r="G56" s="18"/>
      <c r="H56" s="19">
        <f>Source!Y28</f>
        <v>192</v>
      </c>
      <c r="I56" s="46"/>
      <c r="J56" s="46"/>
      <c r="K56" s="46"/>
      <c r="L56" s="46"/>
      <c r="M56" s="46"/>
      <c r="N56" s="46"/>
    </row>
    <row r="57" spans="1:14" ht="14.25">
      <c r="A57" s="47"/>
      <c r="B57" s="47"/>
      <c r="C57" s="20" t="s">
        <v>680</v>
      </c>
      <c r="D57" s="21"/>
      <c r="E57" s="21"/>
      <c r="F57" s="21"/>
      <c r="G57" s="21"/>
      <c r="H57" s="22">
        <f>SUMIF(Source!AA28:Source!AA28,"=26994759",Source!GM28:Source!GM28)</f>
        <v>1300</v>
      </c>
      <c r="I57" s="47"/>
      <c r="J57" s="47"/>
      <c r="K57" s="47"/>
      <c r="L57" s="47"/>
      <c r="M57" s="47"/>
      <c r="N57" s="47"/>
    </row>
    <row r="58" spans="1:14" ht="43.5">
      <c r="A58" s="23"/>
      <c r="B58" s="26" t="str">
        <f>SmtRes!I24</f>
        <v>1-1040</v>
      </c>
      <c r="C58" s="26" t="s">
        <v>698</v>
      </c>
      <c r="D58" s="24" t="str">
        <f>SmtRes!O24</f>
        <v>чел.-ч</v>
      </c>
      <c r="E58" s="24">
        <f>SmtRes!Y24</f>
        <v>9.315</v>
      </c>
      <c r="F58" s="24">
        <f>SmtRes!Y24*Source!I28</f>
        <v>3.61422</v>
      </c>
      <c r="G58" s="27">
        <f>(SmtRes!AA24+SmtRes!AB24+SmtRes!AD24)</f>
        <v>141.83</v>
      </c>
      <c r="H58" s="28">
        <f>(SmtRes!AA24*SmtRes!Y24*Source!I28+SmtRes!AB24*SmtRes!Y24*Source!I28+SmtRes!AD24*SmtRes!Y24*Source!I28)</f>
        <v>512.6048226</v>
      </c>
      <c r="I58" s="28">
        <f>SmtRes!AD24*SmtRes!Y24*Source!I28</f>
        <v>512.6048226</v>
      </c>
      <c r="J58" s="24"/>
      <c r="K58" s="24"/>
      <c r="L58" s="24"/>
      <c r="M58" s="24"/>
      <c r="N58" s="25"/>
    </row>
    <row r="59" spans="1:14" ht="28.5">
      <c r="A59" s="29"/>
      <c r="B59" s="32" t="str">
        <f>SmtRes!I25</f>
        <v>2</v>
      </c>
      <c r="C59" s="32" t="s">
        <v>687</v>
      </c>
      <c r="D59" s="30" t="str">
        <f>SmtRes!O25</f>
        <v>чел.час</v>
      </c>
      <c r="E59" s="30">
        <f>SmtRes!Y25</f>
        <v>0.0125</v>
      </c>
      <c r="F59" s="30">
        <f>SmtRes!Y25*Source!I28</f>
        <v>0.00485</v>
      </c>
      <c r="G59" s="33">
        <f>(SmtRes!AA25+SmtRes!AB25+SmtRes!AD25)</f>
        <v>0</v>
      </c>
      <c r="H59" s="34">
        <f>(SmtRes!AA25*SmtRes!Y25*Source!I28+SmtRes!AB25*SmtRes!Y25*Source!I28+SmtRes!AD25*SmtRes!Y25*Source!I28)</f>
        <v>0</v>
      </c>
      <c r="I59" s="30"/>
      <c r="J59" s="30"/>
      <c r="K59" s="34">
        <f>SmtRes!AC25*SmtRes!Y25*Source!I28</f>
        <v>0</v>
      </c>
      <c r="L59" s="30"/>
      <c r="M59" s="30"/>
      <c r="N59" s="31"/>
    </row>
    <row r="60" spans="1:14" ht="58.5">
      <c r="A60" s="29"/>
      <c r="B60" s="32" t="str">
        <f>SmtRes!I26</f>
        <v>030954</v>
      </c>
      <c r="C60" s="32" t="s">
        <v>699</v>
      </c>
      <c r="D60" s="30" t="str">
        <f>SmtRes!O26</f>
        <v>маш.-ч</v>
      </c>
      <c r="E60" s="30">
        <f>SmtRes!Y26</f>
        <v>0.0125</v>
      </c>
      <c r="F60" s="30">
        <f>SmtRes!Y26*Source!I28</f>
        <v>0.00485</v>
      </c>
      <c r="G60" s="33">
        <f>(SmtRes!AA26+SmtRes!AB26+SmtRes!AD26)</f>
        <v>246.77</v>
      </c>
      <c r="H60" s="34">
        <f>(SmtRes!AA26*SmtRes!Y26*Source!I28+SmtRes!AB26*SmtRes!Y26*Source!I28+SmtRes!AD26*SmtRes!Y26*Source!I28)</f>
        <v>1.1968345000000002</v>
      </c>
      <c r="I60" s="30"/>
      <c r="J60" s="34">
        <f>SmtRes!AB26*SmtRes!Y26*Source!I28</f>
        <v>1.1968345000000002</v>
      </c>
      <c r="K60" s="34">
        <f>SmtRes!AC26*SmtRes!Y26*Source!I28</f>
        <v>0</v>
      </c>
      <c r="L60" s="30"/>
      <c r="M60" s="30"/>
      <c r="N60" s="31"/>
    </row>
    <row r="61" spans="1:14" ht="15">
      <c r="A61" s="29"/>
      <c r="B61" s="32" t="str">
        <f>SmtRes!I27</f>
        <v>101-1757</v>
      </c>
      <c r="C61" s="32" t="str">
        <f>SmtRes!K27</f>
        <v>Ветошь</v>
      </c>
      <c r="D61" s="30" t="str">
        <f>SmtRes!O27</f>
        <v>кг</v>
      </c>
      <c r="E61" s="30">
        <f>SmtRes!Y27</f>
        <v>0.1</v>
      </c>
      <c r="F61" s="30">
        <f>SmtRes!Y27*Source!I28</f>
        <v>0.0388</v>
      </c>
      <c r="G61" s="33">
        <f>(SmtRes!AA27+SmtRes!AB27+SmtRes!AD27)</f>
        <v>52.32</v>
      </c>
      <c r="H61" s="34">
        <f>(SmtRes!AA27*SmtRes!Y27*Source!I28+SmtRes!AB27*SmtRes!Y27*Source!I28+SmtRes!AD27*SmtRes!Y27*Source!I28)</f>
        <v>2.0300160000000003</v>
      </c>
      <c r="I61" s="30"/>
      <c r="J61" s="30"/>
      <c r="K61" s="30"/>
      <c r="L61" s="34">
        <f>SmtRes!AA27*SmtRes!Y27*Source!I28</f>
        <v>2.0300160000000003</v>
      </c>
      <c r="M61" s="30"/>
      <c r="N61" s="31"/>
    </row>
    <row r="62" spans="1:14" ht="15">
      <c r="A62" s="35"/>
      <c r="B62" s="36" t="str">
        <f>SmtRes!I28</f>
        <v>101-9732</v>
      </c>
      <c r="C62" s="36" t="str">
        <f>SmtRes!K28</f>
        <v>Грунтовка</v>
      </c>
      <c r="D62" s="37" t="str">
        <f>SmtRes!O28</f>
        <v>т</v>
      </c>
      <c r="E62" s="37">
        <f>SmtRes!Y28</f>
        <v>0.013</v>
      </c>
      <c r="F62" s="37">
        <f>SmtRes!Y28*Source!I28</f>
        <v>0.005044</v>
      </c>
      <c r="G62" s="38">
        <f>(SmtRes!AA28+SmtRes!AB28+SmtRes!AD28)</f>
        <v>35593.22</v>
      </c>
      <c r="H62" s="39">
        <f>(SmtRes!AA28*SmtRes!Y28*Source!I28+SmtRes!AB28*SmtRes!Y28*Source!I28+SmtRes!AD28*SmtRes!Y28*Source!I28)</f>
        <v>179.53220168000001</v>
      </c>
      <c r="I62" s="37"/>
      <c r="J62" s="37"/>
      <c r="K62" s="37"/>
      <c r="L62" s="39">
        <f>SmtRes!AA28*SmtRes!Y28*Source!I28</f>
        <v>179.53220168000001</v>
      </c>
      <c r="M62" s="37"/>
      <c r="N62" s="40"/>
    </row>
    <row r="63" spans="1:26" ht="71.25">
      <c r="A63" s="11" t="str">
        <f>IF(Source!E29&lt;&gt;"",Source!E29,"")</f>
        <v>6</v>
      </c>
      <c r="B63" s="11" t="str">
        <f>IF(Source!F29&lt;&gt;"",Source!F29,"")</f>
        <v>62-27-2</v>
      </c>
      <c r="C63" s="11" t="s">
        <v>700</v>
      </c>
      <c r="D63" s="12" t="str">
        <f>IF(Source!H29&lt;&gt;"",Source!H29,"")</f>
        <v>100 м2 ошпаклеванной поверхности</v>
      </c>
      <c r="E63" s="12" t="str">
        <f>IF(Source!J29=0," ",Source!J29)</f>
        <v> </v>
      </c>
      <c r="F63" s="13">
        <f>Source!I29</f>
        <v>0.388</v>
      </c>
      <c r="G63" s="14">
        <f>IF(Source!AB29=0," ",Source!AB29)</f>
        <v>8611.63</v>
      </c>
      <c r="H63" s="15">
        <f>IF(Source!O29=0," ",Source!O29)</f>
        <v>3341</v>
      </c>
      <c r="I63" s="15">
        <f>IF(Source!S29=0," ",Source!S29)</f>
        <v>2866</v>
      </c>
      <c r="J63" s="15" t="str">
        <f>IF(Source!Q29=0," ",Source!Q29)</f>
        <v> </v>
      </c>
      <c r="K63" s="15" t="str">
        <f>IF(Source!R29=0," ",Source!R29)</f>
        <v> </v>
      </c>
      <c r="L63" s="15">
        <f>IF(Source!P29=0," ",Source!P29)</f>
        <v>475</v>
      </c>
      <c r="M63" s="16">
        <f>IF(Source!U29=0," ",ROUND(Source!U29,6))</f>
        <v>22.79888</v>
      </c>
      <c r="N63" s="16" t="str">
        <f>IF(Source!V29=0," ",ROUND(Source!V29,6))</f>
        <v> </v>
      </c>
      <c r="T63">
        <f>IF(Source!O29=0," ",Source!O29)</f>
        <v>3341</v>
      </c>
      <c r="U63">
        <v>475</v>
      </c>
      <c r="V63">
        <f>IF(Source!S29=0," ",Source!S29)</f>
        <v>2866</v>
      </c>
      <c r="W63" t="str">
        <f>IF(Source!Q29=0," ",Source!Q29)</f>
        <v> </v>
      </c>
      <c r="X63" t="str">
        <f>IF(Source!R29=0," ",Source!R29)</f>
        <v> </v>
      </c>
      <c r="Y63">
        <f>IF(Source!U29=0," ",ROUND(Source!U29,6))</f>
        <v>22.79888</v>
      </c>
      <c r="Z63" t="str">
        <f>IF(Source!V29=0," ",ROUND(Source!V29,6))</f>
        <v> </v>
      </c>
    </row>
    <row r="64" spans="1:14" ht="15">
      <c r="A64" s="46"/>
      <c r="B64" s="46"/>
      <c r="C64" s="17" t="s">
        <v>257</v>
      </c>
      <c r="D64" s="18" t="str">
        <f>CONCATENATE(Source!AT29," %")</f>
        <v>68 %</v>
      </c>
      <c r="E64" s="18"/>
      <c r="F64" s="18"/>
      <c r="G64" s="18"/>
      <c r="H64" s="19">
        <f>Source!X29</f>
        <v>1949</v>
      </c>
      <c r="I64" s="46"/>
      <c r="J64" s="46"/>
      <c r="K64" s="46"/>
      <c r="L64" s="46"/>
      <c r="M64" s="46"/>
      <c r="N64" s="46"/>
    </row>
    <row r="65" spans="1:14" ht="15">
      <c r="A65" s="46"/>
      <c r="B65" s="46"/>
      <c r="C65" s="17" t="s">
        <v>259</v>
      </c>
      <c r="D65" s="18" t="str">
        <f>CONCATENATE(Source!AU29," %")</f>
        <v>40 %</v>
      </c>
      <c r="E65" s="18"/>
      <c r="F65" s="18"/>
      <c r="G65" s="18"/>
      <c r="H65" s="19">
        <f>Source!Y29</f>
        <v>1146</v>
      </c>
      <c r="I65" s="46"/>
      <c r="J65" s="46"/>
      <c r="K65" s="46"/>
      <c r="L65" s="46"/>
      <c r="M65" s="46"/>
      <c r="N65" s="46"/>
    </row>
    <row r="66" spans="1:14" ht="14.25">
      <c r="A66" s="47"/>
      <c r="B66" s="47"/>
      <c r="C66" s="20" t="s">
        <v>680</v>
      </c>
      <c r="D66" s="21"/>
      <c r="E66" s="21"/>
      <c r="F66" s="21"/>
      <c r="G66" s="21"/>
      <c r="H66" s="22">
        <f>SUMIF(Source!AA29:Source!AA29,"=26994759",Source!GM29:Source!GM29)</f>
        <v>6436</v>
      </c>
      <c r="I66" s="47"/>
      <c r="J66" s="47"/>
      <c r="K66" s="47"/>
      <c r="L66" s="47"/>
      <c r="M66" s="47"/>
      <c r="N66" s="47"/>
    </row>
    <row r="67" spans="1:14" ht="43.5">
      <c r="A67" s="23"/>
      <c r="B67" s="26" t="str">
        <f>SmtRes!I29</f>
        <v>1-1030</v>
      </c>
      <c r="C67" s="26" t="s">
        <v>701</v>
      </c>
      <c r="D67" s="24" t="str">
        <f>SmtRes!O29</f>
        <v>чел.-ч</v>
      </c>
      <c r="E67" s="24">
        <f>SmtRes!Y29</f>
        <v>58.76</v>
      </c>
      <c r="F67" s="24">
        <f>SmtRes!Y29*Source!I29</f>
        <v>22.79888</v>
      </c>
      <c r="G67" s="27">
        <f>(SmtRes!AA29+SmtRes!AB29+SmtRes!AD29)</f>
        <v>125.72</v>
      </c>
      <c r="H67" s="28">
        <f>(SmtRes!AA29*SmtRes!Y29*Source!I29+SmtRes!AB29*SmtRes!Y29*Source!I29+SmtRes!AD29*SmtRes!Y29*Source!I29)</f>
        <v>2866.2751936</v>
      </c>
      <c r="I67" s="28">
        <f>SmtRes!AD29*SmtRes!Y29*Source!I29</f>
        <v>2866.2751936</v>
      </c>
      <c r="J67" s="24"/>
      <c r="K67" s="24"/>
      <c r="L67" s="24"/>
      <c r="M67" s="24"/>
      <c r="N67" s="25"/>
    </row>
    <row r="68" spans="1:14" ht="28.5">
      <c r="A68" s="35"/>
      <c r="B68" s="36">
        <f>SmtRes!I30</f>
      </c>
      <c r="C68" s="36" t="s">
        <v>702</v>
      </c>
      <c r="D68" s="37" t="str">
        <f>SmtRes!O30</f>
        <v>т</v>
      </c>
      <c r="E68" s="37">
        <f>SmtRes!Y30</f>
        <v>0.0808</v>
      </c>
      <c r="F68" s="37">
        <f>SmtRes!Y30*Source!I29</f>
        <v>0.0313504</v>
      </c>
      <c r="G68" s="38">
        <f>(SmtRes!AA30+SmtRes!AB30+SmtRes!AD30)</f>
        <v>15152.43</v>
      </c>
      <c r="H68" s="39">
        <f>(SmtRes!AA30*SmtRes!Y30*Source!I29+SmtRes!AB30*SmtRes!Y30*Source!I29+SmtRes!AD30*SmtRes!Y30*Source!I29)</f>
        <v>475.03474147200006</v>
      </c>
      <c r="I68" s="37"/>
      <c r="J68" s="37"/>
      <c r="K68" s="37"/>
      <c r="L68" s="39">
        <f>SmtRes!AA30*SmtRes!Y30*Source!I29</f>
        <v>475.03474147200006</v>
      </c>
      <c r="M68" s="37"/>
      <c r="N68" s="40"/>
    </row>
    <row r="69" spans="1:26" ht="71.25">
      <c r="A69" s="11" t="str">
        <f>IF(Source!E30&lt;&gt;"",Source!E30,"")</f>
        <v>7</v>
      </c>
      <c r="B69" s="11" t="str">
        <f>IF(Source!F30&lt;&gt;"",Source!F30,"")</f>
        <v>15-04-005-2</v>
      </c>
      <c r="C69" s="11" t="s">
        <v>703</v>
      </c>
      <c r="D69" s="12" t="str">
        <f>IF(Source!H30&lt;&gt;"",Source!H30,"")</f>
        <v>100 м2 окрашиваемой поверхности</v>
      </c>
      <c r="E69" s="12" t="str">
        <f>IF(Source!J30=0," ",Source!J30)</f>
        <v> </v>
      </c>
      <c r="F69" s="13">
        <f>Source!I30</f>
        <v>0.388</v>
      </c>
      <c r="G69" s="14">
        <f>IF(Source!AB30=0," ",Source!AB30)</f>
        <v>8969.5</v>
      </c>
      <c r="H69" s="15">
        <f>IF(Source!O30=0," ",Source!O30)</f>
        <v>3480</v>
      </c>
      <c r="I69" s="15">
        <f>IF(Source!S30=0," ",Source!S30)</f>
        <v>1000</v>
      </c>
      <c r="J69" s="15">
        <f>IF(Source!Q30=0," ",Source!Q30)</f>
        <v>31</v>
      </c>
      <c r="K69" s="15" t="str">
        <f>IF(Source!R30=0," ",Source!R30)</f>
        <v> </v>
      </c>
      <c r="L69" s="15">
        <f>IF(Source!P30=0," ",Source!P30)</f>
        <v>2449</v>
      </c>
      <c r="M69" s="16">
        <f>IF(Source!U30=0," ",ROUND(Source!U30,6))</f>
        <v>7.558628</v>
      </c>
      <c r="N69" s="16">
        <f>IF(Source!V30=0," ",ROUND(Source!V30,6))</f>
        <v>0.00485</v>
      </c>
      <c r="T69">
        <f>IF(Source!O30=0," ",Source!O30)</f>
        <v>3480</v>
      </c>
      <c r="U69">
        <v>2449</v>
      </c>
      <c r="V69">
        <f>IF(Source!S30=0," ",Source!S30)</f>
        <v>1000</v>
      </c>
      <c r="W69">
        <f>IF(Source!Q30=0," ",Source!Q30)</f>
        <v>31</v>
      </c>
      <c r="X69" t="str">
        <f>IF(Source!R30=0," ",Source!R30)</f>
        <v> </v>
      </c>
      <c r="Y69">
        <f>IF(Source!U30=0," ",ROUND(Source!U30,6))</f>
        <v>7.558628</v>
      </c>
      <c r="Z69">
        <f>IF(Source!V30=0," ",ROUND(Source!V30,6))</f>
        <v>0.00485</v>
      </c>
    </row>
    <row r="70" spans="1:14" ht="15">
      <c r="A70" s="46"/>
      <c r="B70" s="46"/>
      <c r="C70" s="17" t="s">
        <v>257</v>
      </c>
      <c r="D70" s="18" t="str">
        <f>CONCATENATE(Source!AT30," %")</f>
        <v>80,33 %</v>
      </c>
      <c r="E70" s="18"/>
      <c r="F70" s="18"/>
      <c r="G70" s="18"/>
      <c r="H70" s="19">
        <f>Source!X30</f>
        <v>803</v>
      </c>
      <c r="I70" s="46"/>
      <c r="J70" s="46"/>
      <c r="K70" s="46"/>
      <c r="L70" s="46"/>
      <c r="M70" s="46"/>
      <c r="N70" s="46"/>
    </row>
    <row r="71" spans="1:14" ht="15">
      <c r="A71" s="46"/>
      <c r="B71" s="46"/>
      <c r="C71" s="17" t="s">
        <v>259</v>
      </c>
      <c r="D71" s="18" t="str">
        <f>CONCATENATE(Source!AU30," %")</f>
        <v>37,4 %</v>
      </c>
      <c r="E71" s="18"/>
      <c r="F71" s="18"/>
      <c r="G71" s="18"/>
      <c r="H71" s="19">
        <f>Source!Y30</f>
        <v>374</v>
      </c>
      <c r="I71" s="46"/>
      <c r="J71" s="46"/>
      <c r="K71" s="46"/>
      <c r="L71" s="46"/>
      <c r="M71" s="46"/>
      <c r="N71" s="46"/>
    </row>
    <row r="72" spans="1:14" ht="14.25">
      <c r="A72" s="47"/>
      <c r="B72" s="47"/>
      <c r="C72" s="20" t="s">
        <v>680</v>
      </c>
      <c r="D72" s="21"/>
      <c r="E72" s="21"/>
      <c r="F72" s="21"/>
      <c r="G72" s="21"/>
      <c r="H72" s="22">
        <f>SUMIF(Source!AA30:Source!AA30,"=26994759",Source!GM30:Source!GM30)</f>
        <v>4657</v>
      </c>
      <c r="I72" s="47"/>
      <c r="J72" s="47"/>
      <c r="K72" s="47"/>
      <c r="L72" s="47"/>
      <c r="M72" s="47"/>
      <c r="N72" s="47"/>
    </row>
    <row r="73" spans="1:14" ht="43.5">
      <c r="A73" s="23"/>
      <c r="B73" s="26" t="str">
        <f>SmtRes!I31</f>
        <v>1-1034</v>
      </c>
      <c r="C73" s="26" t="s">
        <v>704</v>
      </c>
      <c r="D73" s="24" t="str">
        <f>SmtRes!O31</f>
        <v>чел.-ч</v>
      </c>
      <c r="E73" s="24">
        <f>SmtRes!Y31</f>
        <v>19.481</v>
      </c>
      <c r="F73" s="24">
        <f>SmtRes!Y31*Source!I30</f>
        <v>7.558628000000001</v>
      </c>
      <c r="G73" s="27">
        <f>(SmtRes!AA31+SmtRes!AB31+SmtRes!AD31)</f>
        <v>132.29</v>
      </c>
      <c r="H73" s="28">
        <f>(SmtRes!AA31*SmtRes!Y31*Source!I30+SmtRes!AB31*SmtRes!Y31*Source!I30+SmtRes!AD31*SmtRes!Y31*Source!I30)</f>
        <v>999.93089812</v>
      </c>
      <c r="I73" s="28">
        <f>SmtRes!AD31*SmtRes!Y31*Source!I30</f>
        <v>999.93089812</v>
      </c>
      <c r="J73" s="24"/>
      <c r="K73" s="24"/>
      <c r="L73" s="24"/>
      <c r="M73" s="24"/>
      <c r="N73" s="25"/>
    </row>
    <row r="74" spans="1:14" ht="28.5">
      <c r="A74" s="29"/>
      <c r="B74" s="32" t="str">
        <f>SmtRes!I32</f>
        <v>2</v>
      </c>
      <c r="C74" s="32" t="s">
        <v>687</v>
      </c>
      <c r="D74" s="30" t="str">
        <f>SmtRes!O32</f>
        <v>чел.час</v>
      </c>
      <c r="E74" s="30">
        <f>SmtRes!Y32</f>
        <v>0.0125</v>
      </c>
      <c r="F74" s="30">
        <f>SmtRes!Y32*Source!I30</f>
        <v>0.00485</v>
      </c>
      <c r="G74" s="33">
        <f>(SmtRes!AA32+SmtRes!AB32+SmtRes!AD32)</f>
        <v>0</v>
      </c>
      <c r="H74" s="34">
        <f>(SmtRes!AA32*SmtRes!Y32*Source!I30+SmtRes!AB32*SmtRes!Y32*Source!I30+SmtRes!AD32*SmtRes!Y32*Source!I30)</f>
        <v>0</v>
      </c>
      <c r="I74" s="30"/>
      <c r="J74" s="30"/>
      <c r="K74" s="34">
        <f>SmtRes!AC32*SmtRes!Y32*Source!I30</f>
        <v>0</v>
      </c>
      <c r="L74" s="30"/>
      <c r="M74" s="30"/>
      <c r="N74" s="31"/>
    </row>
    <row r="75" spans="1:14" ht="58.5">
      <c r="A75" s="29"/>
      <c r="B75" s="32" t="str">
        <f>SmtRes!I33</f>
        <v>030954</v>
      </c>
      <c r="C75" s="32" t="s">
        <v>699</v>
      </c>
      <c r="D75" s="30" t="str">
        <f>SmtRes!O33</f>
        <v>маш.-ч</v>
      </c>
      <c r="E75" s="30">
        <f>SmtRes!Y33</f>
        <v>0.0125</v>
      </c>
      <c r="F75" s="30">
        <f>SmtRes!Y33*Source!I30</f>
        <v>0.00485</v>
      </c>
      <c r="G75" s="33">
        <f>(SmtRes!AA33+SmtRes!AB33+SmtRes!AD33)</f>
        <v>246.77</v>
      </c>
      <c r="H75" s="34">
        <f>(SmtRes!AA33*SmtRes!Y33*Source!I30+SmtRes!AB33*SmtRes!Y33*Source!I30+SmtRes!AD33*SmtRes!Y33*Source!I30)</f>
        <v>1.1968345000000002</v>
      </c>
      <c r="I75" s="30"/>
      <c r="J75" s="34">
        <f>SmtRes!AB33*SmtRes!Y33*Source!I30</f>
        <v>1.1968345000000002</v>
      </c>
      <c r="K75" s="34">
        <f>SmtRes!AC33*SmtRes!Y33*Source!I30</f>
        <v>0</v>
      </c>
      <c r="L75" s="30"/>
      <c r="M75" s="30"/>
      <c r="N75" s="31"/>
    </row>
    <row r="76" spans="1:14" ht="43.5">
      <c r="A76" s="29"/>
      <c r="B76" s="32" t="str">
        <f>SmtRes!I34</f>
        <v>400001</v>
      </c>
      <c r="C76" s="32" t="s">
        <v>692</v>
      </c>
      <c r="D76" s="30" t="str">
        <f>SmtRes!O34</f>
        <v>маш.-ч</v>
      </c>
      <c r="E76" s="30">
        <f>SmtRes!Y34</f>
        <v>0.11249999999999999</v>
      </c>
      <c r="F76" s="30">
        <f>SmtRes!Y34*Source!I30</f>
        <v>0.043649999999999994</v>
      </c>
      <c r="G76" s="33">
        <f>(SmtRes!AA34+SmtRes!AB34+SmtRes!AD34)</f>
        <v>691.3</v>
      </c>
      <c r="H76" s="34">
        <f>(SmtRes!AA34*SmtRes!Y34*Source!I30+SmtRes!AB34*SmtRes!Y34*Source!I30+SmtRes!AD34*SmtRes!Y34*Source!I30)</f>
        <v>30.175244999999993</v>
      </c>
      <c r="I76" s="30"/>
      <c r="J76" s="34">
        <f>SmtRes!AB34*SmtRes!Y34*Source!I30</f>
        <v>30.175244999999993</v>
      </c>
      <c r="K76" s="34">
        <f>SmtRes!AC34*SmtRes!Y34*Source!I30</f>
        <v>0</v>
      </c>
      <c r="L76" s="30"/>
      <c r="M76" s="30"/>
      <c r="N76" s="31"/>
    </row>
    <row r="77" spans="1:14" ht="30">
      <c r="A77" s="29"/>
      <c r="B77" s="32" t="str">
        <f>SmtRes!I35</f>
        <v>101-1596</v>
      </c>
      <c r="C77" s="32" t="str">
        <f>SmtRes!K35</f>
        <v>Шкурка шлифовальная двухслойная с зернистостью 40-25</v>
      </c>
      <c r="D77" s="30" t="str">
        <f>SmtRes!O35</f>
        <v>м2</v>
      </c>
      <c r="E77" s="30">
        <f>SmtRes!Y35</f>
        <v>0.33</v>
      </c>
      <c r="F77" s="30">
        <f>SmtRes!Y35*Source!I30</f>
        <v>0.12804000000000001</v>
      </c>
      <c r="G77" s="33">
        <f>(SmtRes!AA35+SmtRes!AB35+SmtRes!AD35)</f>
        <v>406.78</v>
      </c>
      <c r="H77" s="34">
        <f>(SmtRes!AA35*SmtRes!Y35*Source!I30+SmtRes!AB35*SmtRes!Y35*Source!I30+SmtRes!AD35*SmtRes!Y35*Source!I30)</f>
        <v>52.0841112</v>
      </c>
      <c r="I77" s="30"/>
      <c r="J77" s="30"/>
      <c r="K77" s="30"/>
      <c r="L77" s="34">
        <f>SmtRes!AA35*SmtRes!Y35*Source!I30</f>
        <v>52.0841112</v>
      </c>
      <c r="M77" s="30"/>
      <c r="N77" s="31"/>
    </row>
    <row r="78" spans="1:14" ht="15">
      <c r="A78" s="29"/>
      <c r="B78" s="32" t="str">
        <f>SmtRes!I36</f>
        <v>101-1712</v>
      </c>
      <c r="C78" s="32" t="str">
        <f>SmtRes!K36</f>
        <v>Шпаклевка гипсовая</v>
      </c>
      <c r="D78" s="30" t="str">
        <f>SmtRes!O36</f>
        <v>т</v>
      </c>
      <c r="E78" s="30">
        <f>SmtRes!Y36</f>
        <v>0.0055</v>
      </c>
      <c r="F78" s="30">
        <f>SmtRes!Y36*Source!I30</f>
        <v>0.002134</v>
      </c>
      <c r="G78" s="33">
        <f>(SmtRes!AA36+SmtRes!AB36+SmtRes!AD36)</f>
        <v>15152.43</v>
      </c>
      <c r="H78" s="34">
        <f>(SmtRes!AA36*SmtRes!Y36*Source!I30+SmtRes!AB36*SmtRes!Y36*Source!I30+SmtRes!AD36*SmtRes!Y36*Source!I30)</f>
        <v>32.33528562</v>
      </c>
      <c r="I78" s="30"/>
      <c r="J78" s="30"/>
      <c r="K78" s="30"/>
      <c r="L78" s="34">
        <f>SmtRes!AA36*SmtRes!Y36*Source!I30</f>
        <v>32.33528562</v>
      </c>
      <c r="M78" s="30"/>
      <c r="N78" s="31"/>
    </row>
    <row r="79" spans="1:14" ht="15">
      <c r="A79" s="29"/>
      <c r="B79" s="32" t="str">
        <f>SmtRes!I37</f>
        <v>101-1757</v>
      </c>
      <c r="C79" s="32" t="str">
        <f>SmtRes!K37</f>
        <v>Ветошь</v>
      </c>
      <c r="D79" s="30" t="str">
        <f>SmtRes!O37</f>
        <v>кг</v>
      </c>
      <c r="E79" s="30">
        <f>SmtRes!Y37</f>
        <v>0.11</v>
      </c>
      <c r="F79" s="30">
        <f>SmtRes!Y37*Source!I30</f>
        <v>0.04268</v>
      </c>
      <c r="G79" s="33">
        <f>(SmtRes!AA37+SmtRes!AB37+SmtRes!AD37)</f>
        <v>52.32</v>
      </c>
      <c r="H79" s="34">
        <f>(SmtRes!AA37*SmtRes!Y37*Source!I30+SmtRes!AB37*SmtRes!Y37*Source!I30+SmtRes!AD37*SmtRes!Y37*Source!I30)</f>
        <v>2.2330176</v>
      </c>
      <c r="I79" s="30"/>
      <c r="J79" s="30"/>
      <c r="K79" s="30"/>
      <c r="L79" s="34">
        <f>SmtRes!AA37*SmtRes!Y37*Source!I30</f>
        <v>2.2330176</v>
      </c>
      <c r="M79" s="30"/>
      <c r="N79" s="31"/>
    </row>
    <row r="80" spans="1:14" ht="15">
      <c r="A80" s="35"/>
      <c r="B80" s="36" t="str">
        <f>SmtRes!I38</f>
        <v>101-1959</v>
      </c>
      <c r="C80" s="36" t="str">
        <f>SmtRes!K38</f>
        <v>Краска ХВ-785</v>
      </c>
      <c r="D80" s="37" t="str">
        <f>SmtRes!O38</f>
        <v>т</v>
      </c>
      <c r="E80" s="37">
        <f>SmtRes!Y38</f>
        <v>0.057</v>
      </c>
      <c r="F80" s="37">
        <f>SmtRes!Y38*Source!I30</f>
        <v>0.022116</v>
      </c>
      <c r="G80" s="38">
        <f>(SmtRes!AA38+SmtRes!AB38+SmtRes!AD38)</f>
        <v>106810</v>
      </c>
      <c r="H80" s="39">
        <f>(SmtRes!AA38*SmtRes!Y38*Source!I30+SmtRes!AB38*SmtRes!Y38*Source!I30+SmtRes!AD38*SmtRes!Y38*Source!I30)</f>
        <v>2362.20996</v>
      </c>
      <c r="I80" s="37"/>
      <c r="J80" s="37"/>
      <c r="K80" s="37"/>
      <c r="L80" s="39">
        <f>SmtRes!AA38*SmtRes!Y38*Source!I30</f>
        <v>2362.20996</v>
      </c>
      <c r="M80" s="37"/>
      <c r="N80" s="40"/>
    </row>
    <row r="81" spans="1:26" ht="68.25">
      <c r="A81" s="11" t="str">
        <f>IF(Source!E31&lt;&gt;"",Source!E31,"")</f>
        <v>8</v>
      </c>
      <c r="B81" s="11" t="str">
        <f>IF(Source!F31&lt;&gt;"",Source!F31,"")</f>
        <v>15-04-006-03</v>
      </c>
      <c r="C81" s="11" t="s">
        <v>705</v>
      </c>
      <c r="D81" s="12" t="str">
        <f>IF(Source!H31&lt;&gt;"",Source!H31,"")</f>
        <v>100 м2 покрытия</v>
      </c>
      <c r="E81" s="12" t="str">
        <f>IF(Source!J31=0," ",Source!J31)</f>
        <v> </v>
      </c>
      <c r="F81" s="13">
        <f>Source!I31</f>
        <v>0.738</v>
      </c>
      <c r="G81" s="14">
        <f>IF(Source!AB31=0," ",Source!AB31)</f>
        <v>1583.63</v>
      </c>
      <c r="H81" s="15">
        <f>IF(Source!O31=0," ",Source!O31)</f>
        <v>1168</v>
      </c>
      <c r="I81" s="15">
        <f>IF(Source!S31=0," ",Source!S31)</f>
        <v>788</v>
      </c>
      <c r="J81" s="15">
        <f>IF(Source!Q31=0," ",Source!Q31)</f>
        <v>2</v>
      </c>
      <c r="K81" s="15" t="str">
        <f>IF(Source!R31=0," ",Source!R31)</f>
        <v> </v>
      </c>
      <c r="L81" s="15">
        <f>IF(Source!P31=0," ",Source!P31)</f>
        <v>378</v>
      </c>
      <c r="M81" s="16">
        <f>IF(Source!U31=0," ",ROUND(Source!U31,6))</f>
        <v>5.558985</v>
      </c>
      <c r="N81" s="16">
        <f>IF(Source!V31=0," ",ROUND(Source!V31,6))</f>
        <v>0.009225</v>
      </c>
      <c r="T81">
        <f>IF(Source!O31=0," ",Source!O31)</f>
        <v>1168</v>
      </c>
      <c r="U81">
        <v>378</v>
      </c>
      <c r="V81">
        <f>IF(Source!S31=0," ",Source!S31)</f>
        <v>788</v>
      </c>
      <c r="W81">
        <f>IF(Source!Q31=0," ",Source!Q31)</f>
        <v>2</v>
      </c>
      <c r="X81" t="str">
        <f>IF(Source!R31=0," ",Source!R31)</f>
        <v> </v>
      </c>
      <c r="Y81">
        <f>IF(Source!U31=0," ",ROUND(Source!U31,6))</f>
        <v>5.558985</v>
      </c>
      <c r="Z81">
        <f>IF(Source!V31=0," ",ROUND(Source!V31,6))</f>
        <v>0.009225</v>
      </c>
    </row>
    <row r="82" spans="1:14" ht="15">
      <c r="A82" s="46"/>
      <c r="B82" s="46"/>
      <c r="C82" s="17" t="s">
        <v>257</v>
      </c>
      <c r="D82" s="18" t="str">
        <f>CONCATENATE(Source!AT31," %")</f>
        <v>80,33 %</v>
      </c>
      <c r="E82" s="18"/>
      <c r="F82" s="18"/>
      <c r="G82" s="18"/>
      <c r="H82" s="19">
        <f>Source!X31</f>
        <v>633</v>
      </c>
      <c r="I82" s="46"/>
      <c r="J82" s="46"/>
      <c r="K82" s="46"/>
      <c r="L82" s="46"/>
      <c r="M82" s="46"/>
      <c r="N82" s="46"/>
    </row>
    <row r="83" spans="1:14" ht="15">
      <c r="A83" s="46"/>
      <c r="B83" s="46"/>
      <c r="C83" s="17" t="s">
        <v>259</v>
      </c>
      <c r="D83" s="18" t="str">
        <f>CONCATENATE(Source!AU31," %")</f>
        <v>37,4 %</v>
      </c>
      <c r="E83" s="18"/>
      <c r="F83" s="18"/>
      <c r="G83" s="18"/>
      <c r="H83" s="19">
        <f>Source!Y31</f>
        <v>295</v>
      </c>
      <c r="I83" s="46"/>
      <c r="J83" s="46"/>
      <c r="K83" s="46"/>
      <c r="L83" s="46"/>
      <c r="M83" s="46"/>
      <c r="N83" s="46"/>
    </row>
    <row r="84" spans="1:14" ht="14.25">
      <c r="A84" s="47"/>
      <c r="B84" s="47"/>
      <c r="C84" s="20" t="s">
        <v>680</v>
      </c>
      <c r="D84" s="21"/>
      <c r="E84" s="21"/>
      <c r="F84" s="21"/>
      <c r="G84" s="21"/>
      <c r="H84" s="22">
        <f>SUMIF(Source!AA31:Source!AA31,"=26994759",Source!GM31:Source!GM31)</f>
        <v>2096</v>
      </c>
      <c r="I84" s="47"/>
      <c r="J84" s="47"/>
      <c r="K84" s="47"/>
      <c r="L84" s="47"/>
      <c r="M84" s="47"/>
      <c r="N84" s="47"/>
    </row>
    <row r="85" spans="1:14" ht="43.5">
      <c r="A85" s="23"/>
      <c r="B85" s="26" t="str">
        <f>SmtRes!I39</f>
        <v>1-1040</v>
      </c>
      <c r="C85" s="26" t="s">
        <v>698</v>
      </c>
      <c r="D85" s="24" t="str">
        <f>SmtRes!O39</f>
        <v>чел.-ч</v>
      </c>
      <c r="E85" s="24">
        <f>SmtRes!Y39</f>
        <v>7.532499999999999</v>
      </c>
      <c r="F85" s="24">
        <f>SmtRes!Y39*Source!I31</f>
        <v>5.558984999999999</v>
      </c>
      <c r="G85" s="27">
        <f>(SmtRes!AA39+SmtRes!AB39+SmtRes!AD39)</f>
        <v>141.83</v>
      </c>
      <c r="H85" s="28">
        <f>(SmtRes!AA39*SmtRes!Y39*Source!I31+SmtRes!AB39*SmtRes!Y39*Source!I31+SmtRes!AD39*SmtRes!Y39*Source!I31)</f>
        <v>788.4308425499999</v>
      </c>
      <c r="I85" s="28">
        <f>SmtRes!AD39*SmtRes!Y39*Source!I31</f>
        <v>788.4308425499999</v>
      </c>
      <c r="J85" s="24"/>
      <c r="K85" s="24"/>
      <c r="L85" s="24"/>
      <c r="M85" s="24"/>
      <c r="N85" s="25"/>
    </row>
    <row r="86" spans="1:14" ht="28.5">
      <c r="A86" s="29"/>
      <c r="B86" s="32" t="str">
        <f>SmtRes!I40</f>
        <v>2</v>
      </c>
      <c r="C86" s="32" t="s">
        <v>687</v>
      </c>
      <c r="D86" s="30" t="str">
        <f>SmtRes!O40</f>
        <v>чел.час</v>
      </c>
      <c r="E86" s="30">
        <f>SmtRes!Y40</f>
        <v>0.0125</v>
      </c>
      <c r="F86" s="30">
        <f>SmtRes!Y40*Source!I31</f>
        <v>0.009225</v>
      </c>
      <c r="G86" s="33">
        <f>(SmtRes!AA40+SmtRes!AB40+SmtRes!AD40)</f>
        <v>0</v>
      </c>
      <c r="H86" s="34">
        <f>(SmtRes!AA40*SmtRes!Y40*Source!I31+SmtRes!AB40*SmtRes!Y40*Source!I31+SmtRes!AD40*SmtRes!Y40*Source!I31)</f>
        <v>0</v>
      </c>
      <c r="I86" s="30"/>
      <c r="J86" s="30"/>
      <c r="K86" s="34">
        <f>SmtRes!AC40*SmtRes!Y40*Source!I31</f>
        <v>0</v>
      </c>
      <c r="L86" s="30"/>
      <c r="M86" s="30"/>
      <c r="N86" s="31"/>
    </row>
    <row r="87" spans="1:14" ht="58.5">
      <c r="A87" s="29"/>
      <c r="B87" s="32" t="str">
        <f>SmtRes!I41</f>
        <v>030954</v>
      </c>
      <c r="C87" s="32" t="s">
        <v>699</v>
      </c>
      <c r="D87" s="30" t="str">
        <f>SmtRes!O41</f>
        <v>маш.-ч</v>
      </c>
      <c r="E87" s="30">
        <f>SmtRes!Y41</f>
        <v>0.0125</v>
      </c>
      <c r="F87" s="30">
        <f>SmtRes!Y41*Source!I31</f>
        <v>0.009225</v>
      </c>
      <c r="G87" s="33">
        <f>(SmtRes!AA41+SmtRes!AB41+SmtRes!AD41)</f>
        <v>258.94</v>
      </c>
      <c r="H87" s="34">
        <f>(SmtRes!AA41*SmtRes!Y41*Source!I31+SmtRes!AB41*SmtRes!Y41*Source!I31+SmtRes!AD41*SmtRes!Y41*Source!I31)</f>
        <v>2.3887215</v>
      </c>
      <c r="I87" s="30"/>
      <c r="J87" s="34">
        <f>SmtRes!AB41*SmtRes!Y41*Source!I31</f>
        <v>2.3887215</v>
      </c>
      <c r="K87" s="34">
        <f>SmtRes!AC41*SmtRes!Y41*Source!I31</f>
        <v>0</v>
      </c>
      <c r="L87" s="30"/>
      <c r="M87" s="30"/>
      <c r="N87" s="31"/>
    </row>
    <row r="88" spans="1:14" ht="15">
      <c r="A88" s="29"/>
      <c r="B88" s="32" t="str">
        <f>SmtRes!I42</f>
        <v>101-1757</v>
      </c>
      <c r="C88" s="32" t="str">
        <f>SmtRes!K42</f>
        <v>Ветошь</v>
      </c>
      <c r="D88" s="30" t="str">
        <f>SmtRes!O42</f>
        <v>кг</v>
      </c>
      <c r="E88" s="30">
        <f>SmtRes!Y42</f>
        <v>0.1</v>
      </c>
      <c r="F88" s="30">
        <f>SmtRes!Y42*Source!I31</f>
        <v>0.0738</v>
      </c>
      <c r="G88" s="33">
        <f>(SmtRes!AA42+SmtRes!AB42+SmtRes!AD42)</f>
        <v>52.82</v>
      </c>
      <c r="H88" s="34">
        <f>(SmtRes!AA42*SmtRes!Y42*Source!I31+SmtRes!AB42*SmtRes!Y42*Source!I31+SmtRes!AD42*SmtRes!Y42*Source!I31)</f>
        <v>3.898116</v>
      </c>
      <c r="I88" s="30"/>
      <c r="J88" s="30"/>
      <c r="K88" s="30"/>
      <c r="L88" s="34">
        <f>SmtRes!AA42*SmtRes!Y42*Source!I31</f>
        <v>3.898116</v>
      </c>
      <c r="M88" s="30"/>
      <c r="N88" s="31"/>
    </row>
    <row r="89" spans="1:14" ht="15">
      <c r="A89" s="35"/>
      <c r="B89" s="36" t="str">
        <f>SmtRes!I43</f>
        <v>101-9732</v>
      </c>
      <c r="C89" s="36" t="str">
        <f>SmtRes!K43</f>
        <v>Грунтовка</v>
      </c>
      <c r="D89" s="37" t="str">
        <f>SmtRes!O43</f>
        <v>т</v>
      </c>
      <c r="E89" s="37">
        <f>SmtRes!Y43</f>
        <v>0.013</v>
      </c>
      <c r="F89" s="37">
        <f>SmtRes!Y43*Source!I31</f>
        <v>0.009594</v>
      </c>
      <c r="G89" s="38">
        <f>(SmtRes!AA43+SmtRes!AB43+SmtRes!AD43)</f>
        <v>38983.05</v>
      </c>
      <c r="H89" s="39">
        <f>(SmtRes!AA43*SmtRes!Y43*Source!I31+SmtRes!AB43*SmtRes!Y43*Source!I31+SmtRes!AD43*SmtRes!Y43*Source!I31)</f>
        <v>374.0033817</v>
      </c>
      <c r="I89" s="37"/>
      <c r="J89" s="37"/>
      <c r="K89" s="37"/>
      <c r="L89" s="39">
        <f>SmtRes!AA43*SmtRes!Y43*Source!I31</f>
        <v>374.0033817</v>
      </c>
      <c r="M89" s="37"/>
      <c r="N89" s="40"/>
    </row>
    <row r="90" spans="1:26" ht="39.75">
      <c r="A90" s="11" t="str">
        <f>IF(Source!E32&lt;&gt;"",Source!E32,"")</f>
        <v>9</v>
      </c>
      <c r="B90" s="11" t="str">
        <f>IF(Source!F32&lt;&gt;"",Source!F32,"")</f>
        <v>10-02-025-1</v>
      </c>
      <c r="C90" s="11" t="s">
        <v>706</v>
      </c>
      <c r="D90" s="12" t="str">
        <f>IF(Source!H32&lt;&gt;"",Source!H32,"")</f>
        <v>100 м2</v>
      </c>
      <c r="E90" s="12" t="str">
        <f>IF(Source!J32=0," ",Source!J32)</f>
        <v> </v>
      </c>
      <c r="F90" s="13">
        <f>Source!I32</f>
        <v>0.738</v>
      </c>
      <c r="G90" s="14">
        <f>IF(Source!AB32=0," ",Source!AB32)</f>
        <v>5451.09</v>
      </c>
      <c r="H90" s="15">
        <f>IF(Source!O32=0," ",Source!O32)</f>
        <v>4023</v>
      </c>
      <c r="I90" s="15">
        <f>IF(Source!S32=0," ",Source!S32)</f>
        <v>2075</v>
      </c>
      <c r="J90" s="15" t="str">
        <f>IF(Source!Q32=0," ",Source!Q32)</f>
        <v> </v>
      </c>
      <c r="K90" s="15" t="str">
        <f>IF(Source!R32=0," ",Source!R32)</f>
        <v> </v>
      </c>
      <c r="L90" s="15">
        <f>IF(Source!P32=0," ",Source!P32)</f>
        <v>1948</v>
      </c>
      <c r="M90" s="16">
        <f>IF(Source!U32=0," ",ROUND(Source!U32,6))</f>
        <v>17.39835</v>
      </c>
      <c r="N90" s="16" t="str">
        <f>IF(Source!V32=0," ",ROUND(Source!V32,6))</f>
        <v> </v>
      </c>
      <c r="T90">
        <f>IF(Source!O32=0," ",Source!O32)</f>
        <v>4023</v>
      </c>
      <c r="U90">
        <v>1948</v>
      </c>
      <c r="V90">
        <f>IF(Source!S32=0," ",Source!S32)</f>
        <v>2075</v>
      </c>
      <c r="W90" t="str">
        <f>IF(Source!Q32=0," ",Source!Q32)</f>
        <v> </v>
      </c>
      <c r="X90" t="str">
        <f>IF(Source!R32=0," ",Source!R32)</f>
        <v> </v>
      </c>
      <c r="Y90">
        <f>IF(Source!U32=0," ",ROUND(Source!U32,6))</f>
        <v>17.39835</v>
      </c>
      <c r="Z90" t="str">
        <f>IF(Source!V32=0," ",ROUND(Source!V32,6))</f>
        <v> </v>
      </c>
    </row>
    <row r="91" spans="1:14" ht="15">
      <c r="A91" s="46"/>
      <c r="B91" s="46"/>
      <c r="C91" s="17" t="s">
        <v>257</v>
      </c>
      <c r="D91" s="18" t="str">
        <f>CONCATENATE(Source!AT32," %")</f>
        <v>90,27 %</v>
      </c>
      <c r="E91" s="18"/>
      <c r="F91" s="18"/>
      <c r="G91" s="18"/>
      <c r="H91" s="19">
        <f>Source!X32</f>
        <v>1873</v>
      </c>
      <c r="I91" s="46"/>
      <c r="J91" s="46"/>
      <c r="K91" s="46"/>
      <c r="L91" s="46"/>
      <c r="M91" s="46"/>
      <c r="N91" s="46"/>
    </row>
    <row r="92" spans="1:14" ht="15">
      <c r="A92" s="46"/>
      <c r="B92" s="46"/>
      <c r="C92" s="17" t="s">
        <v>259</v>
      </c>
      <c r="D92" s="18" t="str">
        <f>CONCATENATE(Source!AU32," %")</f>
        <v>42,84 %</v>
      </c>
      <c r="E92" s="18"/>
      <c r="F92" s="18"/>
      <c r="G92" s="18"/>
      <c r="H92" s="19">
        <f>Source!Y32</f>
        <v>889</v>
      </c>
      <c r="I92" s="46"/>
      <c r="J92" s="46"/>
      <c r="K92" s="46"/>
      <c r="L92" s="46"/>
      <c r="M92" s="46"/>
      <c r="N92" s="46"/>
    </row>
    <row r="93" spans="1:14" ht="14.25">
      <c r="A93" s="47"/>
      <c r="B93" s="47"/>
      <c r="C93" s="20" t="s">
        <v>680</v>
      </c>
      <c r="D93" s="21"/>
      <c r="E93" s="21"/>
      <c r="F93" s="21"/>
      <c r="G93" s="21"/>
      <c r="H93" s="22">
        <f>SUMIF(Source!AA32:Source!AA32,"=26994759",Source!GM32:Source!GM32)</f>
        <v>6785</v>
      </c>
      <c r="I93" s="47"/>
      <c r="J93" s="47"/>
      <c r="K93" s="47"/>
      <c r="L93" s="47"/>
      <c r="M93" s="47"/>
      <c r="N93" s="47"/>
    </row>
    <row r="94" spans="1:14" ht="43.5">
      <c r="A94" s="23"/>
      <c r="B94" s="26" t="str">
        <f>SmtRes!I44</f>
        <v>1-1024</v>
      </c>
      <c r="C94" s="26" t="s">
        <v>707</v>
      </c>
      <c r="D94" s="24" t="str">
        <f>SmtRes!O44</f>
        <v>чел.-ч</v>
      </c>
      <c r="E94" s="24">
        <f>SmtRes!Y44</f>
        <v>23.575</v>
      </c>
      <c r="F94" s="24">
        <f>SmtRes!Y44*Source!I32</f>
        <v>17.39835</v>
      </c>
      <c r="G94" s="27">
        <f>(SmtRes!AA44+SmtRes!AB44+SmtRes!AD44)</f>
        <v>119.25</v>
      </c>
      <c r="H94" s="28">
        <f>(SmtRes!AA44*SmtRes!Y44*Source!I32+SmtRes!AB44*SmtRes!Y44*Source!I32+SmtRes!AD44*SmtRes!Y44*Source!I32)</f>
        <v>2074.7532375</v>
      </c>
      <c r="I94" s="28">
        <f>SmtRes!AD44*SmtRes!Y44*Source!I32</f>
        <v>2074.7532375</v>
      </c>
      <c r="J94" s="24"/>
      <c r="K94" s="24"/>
      <c r="L94" s="24"/>
      <c r="M94" s="24"/>
      <c r="N94" s="25"/>
    </row>
    <row r="95" spans="1:14" ht="30">
      <c r="A95" s="35"/>
      <c r="B95" s="36">
        <f>SmtRes!I45</f>
      </c>
      <c r="C95" s="36" t="str">
        <f>SmtRes!K45</f>
        <v>Профиль перфорированный маячковый</v>
      </c>
      <c r="D95" s="37" t="str">
        <f>SmtRes!O45</f>
        <v>ШТ</v>
      </c>
      <c r="E95" s="37">
        <f>SmtRes!Y45</f>
        <v>103.84615384615384</v>
      </c>
      <c r="F95" s="37">
        <f>SmtRes!Y45*Source!I32</f>
        <v>76.63846153846153</v>
      </c>
      <c r="G95" s="38">
        <f>(SmtRes!AA45+SmtRes!AB45+SmtRes!AD45)</f>
        <v>25.42</v>
      </c>
      <c r="H95" s="39">
        <f>(SmtRes!AA45*SmtRes!Y45*Source!I32+SmtRes!AB45*SmtRes!Y45*Source!I32+SmtRes!AD45*SmtRes!Y45*Source!I32)</f>
        <v>1948.1496923076925</v>
      </c>
      <c r="I95" s="37"/>
      <c r="J95" s="37"/>
      <c r="K95" s="37"/>
      <c r="L95" s="39">
        <f>SmtRes!AA45*SmtRes!Y45*Source!I32</f>
        <v>1948.1496923076925</v>
      </c>
      <c r="M95" s="37"/>
      <c r="N95" s="40"/>
    </row>
    <row r="96" spans="1:26" ht="69.75">
      <c r="A96" s="11" t="str">
        <f>IF(Source!E33&lt;&gt;"",Source!E33,"")</f>
        <v>10</v>
      </c>
      <c r="B96" s="11" t="str">
        <f>IF(Source!F33&lt;&gt;"",Source!F33,"")</f>
        <v>61-28-1</v>
      </c>
      <c r="C96" s="11" t="s">
        <v>708</v>
      </c>
      <c r="D96" s="12" t="str">
        <f>IF(Source!H33&lt;&gt;"",Source!H33,"")</f>
        <v>100 м2 поверхности</v>
      </c>
      <c r="E96" s="12" t="str">
        <f>IF(Source!J33=0," ",Source!J33)</f>
        <v> </v>
      </c>
      <c r="F96" s="13">
        <f>Source!I33</f>
        <v>0.738</v>
      </c>
      <c r="G96" s="14">
        <f>IF(Source!AB33=0," ",Source!AB33)</f>
        <v>19905.81</v>
      </c>
      <c r="H96" s="15">
        <f>IF(Source!O33=0," ",Source!O33)</f>
        <v>14691</v>
      </c>
      <c r="I96" s="15">
        <f>IF(Source!S33=0," ",Source!S33)</f>
        <v>6933</v>
      </c>
      <c r="J96" s="15">
        <f>IF(Source!Q33=0," ",Source!Q33)</f>
        <v>67</v>
      </c>
      <c r="K96" s="15" t="str">
        <f>IF(Source!R33=0," ",Source!R33)</f>
        <v> </v>
      </c>
      <c r="L96" s="15">
        <f>IF(Source!P33=0," ",Source!P33)</f>
        <v>7691</v>
      </c>
      <c r="M96" s="16">
        <f>IF(Source!U33=0," ",ROUND(Source!U33,6))</f>
        <v>60.2208</v>
      </c>
      <c r="N96" s="16" t="str">
        <f>IF(Source!V33=0," ",ROUND(Source!V33,6))</f>
        <v> </v>
      </c>
      <c r="T96">
        <f>IF(Source!O33=0," ",Source!O33)</f>
        <v>14691</v>
      </c>
      <c r="U96">
        <v>7691</v>
      </c>
      <c r="V96">
        <f>IF(Source!S33=0," ",Source!S33)</f>
        <v>6933</v>
      </c>
      <c r="W96">
        <f>IF(Source!Q33=0," ",Source!Q33)</f>
        <v>67</v>
      </c>
      <c r="X96" t="str">
        <f>IF(Source!R33=0," ",Source!R33)</f>
        <v> </v>
      </c>
      <c r="Y96">
        <f>IF(Source!U33=0," ",ROUND(Source!U33,6))</f>
        <v>60.2208</v>
      </c>
      <c r="Z96" t="str">
        <f>IF(Source!V33=0," ",ROUND(Source!V33,6))</f>
        <v> </v>
      </c>
    </row>
    <row r="97" spans="1:14" ht="15">
      <c r="A97" s="46"/>
      <c r="B97" s="46"/>
      <c r="C97" s="17" t="s">
        <v>257</v>
      </c>
      <c r="D97" s="18" t="str">
        <f>CONCATENATE(Source!AT33," %")</f>
        <v>67,15 %</v>
      </c>
      <c r="E97" s="18"/>
      <c r="F97" s="18"/>
      <c r="G97" s="18"/>
      <c r="H97" s="19">
        <f>Source!X33</f>
        <v>4656</v>
      </c>
      <c r="I97" s="46"/>
      <c r="J97" s="46"/>
      <c r="K97" s="46"/>
      <c r="L97" s="46"/>
      <c r="M97" s="46"/>
      <c r="N97" s="46"/>
    </row>
    <row r="98" spans="1:14" ht="15">
      <c r="A98" s="46"/>
      <c r="B98" s="46"/>
      <c r="C98" s="17" t="s">
        <v>259</v>
      </c>
      <c r="D98" s="18" t="str">
        <f>CONCATENATE(Source!AU33," %")</f>
        <v>40 %</v>
      </c>
      <c r="E98" s="18"/>
      <c r="F98" s="18"/>
      <c r="G98" s="18"/>
      <c r="H98" s="19">
        <f>Source!Y33</f>
        <v>2773</v>
      </c>
      <c r="I98" s="46"/>
      <c r="J98" s="46"/>
      <c r="K98" s="46"/>
      <c r="L98" s="46"/>
      <c r="M98" s="46"/>
      <c r="N98" s="46"/>
    </row>
    <row r="99" spans="1:14" ht="14.25">
      <c r="A99" s="47"/>
      <c r="B99" s="47"/>
      <c r="C99" s="20" t="s">
        <v>680</v>
      </c>
      <c r="D99" s="21"/>
      <c r="E99" s="21"/>
      <c r="F99" s="21"/>
      <c r="G99" s="21"/>
      <c r="H99" s="22">
        <f>SUMIF(Source!AA33:Source!AA33,"=26994759",Source!GM33:Source!GM33)</f>
        <v>22120</v>
      </c>
      <c r="I99" s="47"/>
      <c r="J99" s="47"/>
      <c r="K99" s="47"/>
      <c r="L99" s="47"/>
      <c r="M99" s="47"/>
      <c r="N99" s="47"/>
    </row>
    <row r="100" spans="1:14" ht="30">
      <c r="A100" s="23"/>
      <c r="B100" s="26" t="str">
        <f>SmtRes!I46</f>
        <v>1-1020</v>
      </c>
      <c r="C100" s="26" t="str">
        <f>SmtRes!K46</f>
        <v>Рабочий строитель среднего разряда 2</v>
      </c>
      <c r="D100" s="24" t="str">
        <f>SmtRes!O46</f>
        <v>чел.-ч</v>
      </c>
      <c r="E100" s="24">
        <f>SmtRes!Y46</f>
        <v>81.6</v>
      </c>
      <c r="F100" s="24">
        <f>SmtRes!Y46*Source!I33</f>
        <v>60.2208</v>
      </c>
      <c r="G100" s="27">
        <f>(SmtRes!AA46+SmtRes!AB46+SmtRes!AD46)</f>
        <v>115.12</v>
      </c>
      <c r="H100" s="28">
        <f>(SmtRes!AA46*SmtRes!Y46*Source!I33+SmtRes!AB46*SmtRes!Y46*Source!I33+SmtRes!AD46*SmtRes!Y46*Source!I33)</f>
        <v>6932.618495999999</v>
      </c>
      <c r="I100" s="28">
        <f>SmtRes!AD46*SmtRes!Y46*Source!I33</f>
        <v>6932.618495999999</v>
      </c>
      <c r="J100" s="24"/>
      <c r="K100" s="24"/>
      <c r="L100" s="24"/>
      <c r="M100" s="24"/>
      <c r="N100" s="25"/>
    </row>
    <row r="101" spans="1:14" ht="30">
      <c r="A101" s="29"/>
      <c r="B101" s="32" t="str">
        <f>SmtRes!I47</f>
        <v>030401</v>
      </c>
      <c r="C101" s="32" t="str">
        <f>SmtRes!K47</f>
        <v>Лебедки электрические тяговым усилием до 5,79 кН (0,59 т)</v>
      </c>
      <c r="D101" s="30" t="str">
        <f>SmtRes!O47</f>
        <v>маш.-ч</v>
      </c>
      <c r="E101" s="30">
        <f>SmtRes!Y47</f>
        <v>0.1</v>
      </c>
      <c r="F101" s="30">
        <f>SmtRes!Y47*Source!I33</f>
        <v>0.0738</v>
      </c>
      <c r="G101" s="33">
        <f>(SmtRes!AA47+SmtRes!AB47+SmtRes!AD47)</f>
        <v>5.76</v>
      </c>
      <c r="H101" s="34">
        <f>(SmtRes!AA47*SmtRes!Y47*Source!I33+SmtRes!AB47*SmtRes!Y47*Source!I33+SmtRes!AD47*SmtRes!Y47*Source!I33)</f>
        <v>0.42508799999999997</v>
      </c>
      <c r="I101" s="30"/>
      <c r="J101" s="34">
        <f>SmtRes!AB47*SmtRes!Y47*Source!I33</f>
        <v>0.42508799999999997</v>
      </c>
      <c r="K101" s="34">
        <f>SmtRes!AC47*SmtRes!Y47*Source!I33</f>
        <v>0</v>
      </c>
      <c r="L101" s="30"/>
      <c r="M101" s="30"/>
      <c r="N101" s="31"/>
    </row>
    <row r="102" spans="1:14" ht="30">
      <c r="A102" s="29"/>
      <c r="B102" s="32" t="str">
        <f>SmtRes!I48</f>
        <v>400001</v>
      </c>
      <c r="C102" s="32" t="str">
        <f>SmtRes!K48</f>
        <v>Автомобили бортовые, грузоподъемность до 5 т</v>
      </c>
      <c r="D102" s="30" t="str">
        <f>SmtRes!O48</f>
        <v>маш.-ч</v>
      </c>
      <c r="E102" s="30">
        <f>SmtRes!Y48</f>
        <v>0.13</v>
      </c>
      <c r="F102" s="30">
        <f>SmtRes!Y48*Source!I33</f>
        <v>0.09594</v>
      </c>
      <c r="G102" s="33">
        <f>(SmtRes!AA48+SmtRes!AB48+SmtRes!AD48)</f>
        <v>691.3</v>
      </c>
      <c r="H102" s="34">
        <f>(SmtRes!AA48*SmtRes!Y48*Source!I33+SmtRes!AB48*SmtRes!Y48*Source!I33+SmtRes!AD48*SmtRes!Y48*Source!I33)</f>
        <v>66.323322</v>
      </c>
      <c r="I102" s="30"/>
      <c r="J102" s="34">
        <f>SmtRes!AB48*SmtRes!Y48*Source!I33</f>
        <v>66.323322</v>
      </c>
      <c r="K102" s="34">
        <f>SmtRes!AC48*SmtRes!Y48*Source!I33</f>
        <v>0</v>
      </c>
      <c r="L102" s="30"/>
      <c r="M102" s="30"/>
      <c r="N102" s="31"/>
    </row>
    <row r="103" spans="1:14" ht="30">
      <c r="A103" s="29"/>
      <c r="B103" s="32" t="str">
        <f>SmtRes!I49</f>
        <v>101-0874</v>
      </c>
      <c r="C103" s="32" t="str">
        <f>SmtRes!K49</f>
        <v>Сетка тканая с квадратными ячейками № 05 без покрытия</v>
      </c>
      <c r="D103" s="30" t="str">
        <f>SmtRes!O49</f>
        <v>м2</v>
      </c>
      <c r="E103" s="30">
        <f>SmtRes!Y49</f>
        <v>110</v>
      </c>
      <c r="F103" s="30">
        <f>SmtRes!Y49*Source!I33</f>
        <v>81.17999999999999</v>
      </c>
      <c r="G103" s="33">
        <f>(SmtRes!AA49+SmtRes!AB49+SmtRes!AD49)</f>
        <v>71.19</v>
      </c>
      <c r="H103" s="34">
        <f>(SmtRes!AA49*SmtRes!Y49*Source!I33+SmtRes!AB49*SmtRes!Y49*Source!I33+SmtRes!AD49*SmtRes!Y49*Source!I33)</f>
        <v>5779.204199999999</v>
      </c>
      <c r="I103" s="30"/>
      <c r="J103" s="30"/>
      <c r="K103" s="30"/>
      <c r="L103" s="34">
        <f>SmtRes!AA49*SmtRes!Y49*Source!I33</f>
        <v>5779.204199999999</v>
      </c>
      <c r="M103" s="30"/>
      <c r="N103" s="31"/>
    </row>
    <row r="104" spans="1:14" ht="15">
      <c r="A104" s="35"/>
      <c r="B104" s="36" t="str">
        <f>SmtRes!I50</f>
        <v>405-0219</v>
      </c>
      <c r="C104" s="36" t="str">
        <f>SmtRes!K50</f>
        <v>Гипсовые вяжущие, марка Г3</v>
      </c>
      <c r="D104" s="37" t="str">
        <f>SmtRes!O50</f>
        <v>т</v>
      </c>
      <c r="E104" s="37">
        <f>SmtRes!Y50</f>
        <v>0.25</v>
      </c>
      <c r="F104" s="37">
        <f>SmtRes!Y50*Source!I33</f>
        <v>0.1845</v>
      </c>
      <c r="G104" s="38">
        <f>(SmtRes!AA50+SmtRes!AB50+SmtRes!AD50)</f>
        <v>10362.67</v>
      </c>
      <c r="H104" s="39">
        <f>(SmtRes!AA50*SmtRes!Y50*Source!I33+SmtRes!AB50*SmtRes!Y50*Source!I33+SmtRes!AD50*SmtRes!Y50*Source!I33)</f>
        <v>1911.912615</v>
      </c>
      <c r="I104" s="37"/>
      <c r="J104" s="37"/>
      <c r="K104" s="37"/>
      <c r="L104" s="39">
        <f>SmtRes!AA50*SmtRes!Y50*Source!I33</f>
        <v>1911.912615</v>
      </c>
      <c r="M104" s="37"/>
      <c r="N104" s="40"/>
    </row>
    <row r="105" spans="1:26" ht="82.5">
      <c r="A105" s="11" t="str">
        <f>IF(Source!E34&lt;&gt;"",Source!E34,"")</f>
        <v>11</v>
      </c>
      <c r="B105" s="11" t="str">
        <f>IF(Source!F34&lt;&gt;"",Source!F34,"")</f>
        <v>15-02-016-1  к=2 п. 1.15.5</v>
      </c>
      <c r="C105" s="11" t="s">
        <v>709</v>
      </c>
      <c r="D105" s="12" t="str">
        <f>IF(Source!H34&lt;&gt;"",Source!H34,"")</f>
        <v>100 м2 оштукатуриваемой поверхности</v>
      </c>
      <c r="E105" s="12" t="str">
        <f>IF(Source!J34=0," ",Source!J34)</f>
        <v> </v>
      </c>
      <c r="F105" s="13">
        <f>Source!I34</f>
        <v>0.738</v>
      </c>
      <c r="G105" s="14">
        <f>IF(Source!AB34=0," ",Source!AB34)</f>
        <v>26103.2</v>
      </c>
      <c r="H105" s="15">
        <f>IF(Source!O34=0," ",Source!O34)</f>
        <v>19263</v>
      </c>
      <c r="I105" s="15">
        <f>IF(Source!S34=0," ",Source!S34)</f>
        <v>17120</v>
      </c>
      <c r="J105" s="15">
        <f>IF(Source!Q34=0," ",Source!Q34)</f>
        <v>1758</v>
      </c>
      <c r="K105" s="15" t="str">
        <f>IF(Source!R34=0," ",Source!R34)</f>
        <v> </v>
      </c>
      <c r="L105" s="15">
        <f>IF(Source!P34=0," ",Source!P34)</f>
        <v>385</v>
      </c>
      <c r="M105" s="16">
        <f>IF(Source!U34=0," ",ROUND(Source!U34,6))</f>
        <v>127.98396</v>
      </c>
      <c r="N105" s="16">
        <f>IF(Source!V34=0," ",ROUND(Source!V34,6))</f>
        <v>11.19915</v>
      </c>
      <c r="T105">
        <f>IF(Source!O34=0," ",Source!O34)</f>
        <v>19263</v>
      </c>
      <c r="U105">
        <v>385</v>
      </c>
      <c r="V105">
        <f>IF(Source!S34=0," ",Source!S34)</f>
        <v>17120</v>
      </c>
      <c r="W105">
        <f>IF(Source!Q34=0," ",Source!Q34)</f>
        <v>1758</v>
      </c>
      <c r="X105" t="str">
        <f>IF(Source!R34=0," ",Source!R34)</f>
        <v> </v>
      </c>
      <c r="Y105">
        <f>IF(Source!U34=0," ",ROUND(Source!U34,6))</f>
        <v>127.98396</v>
      </c>
      <c r="Z105">
        <f>IF(Source!V34=0," ",ROUND(Source!V34,6))</f>
        <v>11.19915</v>
      </c>
    </row>
    <row r="106" spans="1:14" ht="15">
      <c r="A106" s="46"/>
      <c r="B106" s="46"/>
      <c r="C106" s="17" t="s">
        <v>257</v>
      </c>
      <c r="D106" s="18" t="str">
        <f>CONCATENATE(Source!AT34," %")</f>
        <v>80,33 %</v>
      </c>
      <c r="E106" s="18"/>
      <c r="F106" s="18"/>
      <c r="G106" s="18"/>
      <c r="H106" s="19">
        <f>Source!X34</f>
        <v>13752</v>
      </c>
      <c r="I106" s="46"/>
      <c r="J106" s="46"/>
      <c r="K106" s="46"/>
      <c r="L106" s="46"/>
      <c r="M106" s="46"/>
      <c r="N106" s="46"/>
    </row>
    <row r="107" spans="1:14" ht="15">
      <c r="A107" s="46"/>
      <c r="B107" s="46"/>
      <c r="C107" s="17" t="s">
        <v>259</v>
      </c>
      <c r="D107" s="18" t="str">
        <f>CONCATENATE(Source!AU34," %")</f>
        <v>37,4 %</v>
      </c>
      <c r="E107" s="18"/>
      <c r="F107" s="18"/>
      <c r="G107" s="18"/>
      <c r="H107" s="19">
        <f>Source!Y34</f>
        <v>6403</v>
      </c>
      <c r="I107" s="46"/>
      <c r="J107" s="46"/>
      <c r="K107" s="46"/>
      <c r="L107" s="46"/>
      <c r="M107" s="46"/>
      <c r="N107" s="46"/>
    </row>
    <row r="108" spans="1:14" ht="14.25">
      <c r="A108" s="47"/>
      <c r="B108" s="47"/>
      <c r="C108" s="20" t="s">
        <v>680</v>
      </c>
      <c r="D108" s="21"/>
      <c r="E108" s="21"/>
      <c r="F108" s="21"/>
      <c r="G108" s="21"/>
      <c r="H108" s="22">
        <f>SUMIF(Source!AA34:Source!AA34,"=26994759",Source!GM34:Source!GM34)</f>
        <v>39418</v>
      </c>
      <c r="I108" s="47"/>
      <c r="J108" s="47"/>
      <c r="K108" s="47"/>
      <c r="L108" s="47"/>
      <c r="M108" s="47"/>
      <c r="N108" s="47"/>
    </row>
    <row r="109" spans="1:14" ht="43.5">
      <c r="A109" s="23"/>
      <c r="B109" s="26" t="str">
        <f>SmtRes!I51</f>
        <v>1-1035</v>
      </c>
      <c r="C109" s="26" t="s">
        <v>710</v>
      </c>
      <c r="D109" s="24" t="str">
        <f>SmtRes!O51</f>
        <v>чел.-ч</v>
      </c>
      <c r="E109" s="24">
        <f>SmtRes!Y51</f>
        <v>173.42</v>
      </c>
      <c r="F109" s="24">
        <f>SmtRes!Y51*Source!I34</f>
        <v>127.98395999999998</v>
      </c>
      <c r="G109" s="27">
        <f>(SmtRes!AA51+SmtRes!AB51+SmtRes!AD51)</f>
        <v>133.77</v>
      </c>
      <c r="H109" s="28">
        <f>(SmtRes!AA51*SmtRes!Y51*Source!I34+SmtRes!AB51*SmtRes!Y51*Source!I34+SmtRes!AD51*SmtRes!Y51*Source!I34)</f>
        <v>17120.4143292</v>
      </c>
      <c r="I109" s="28">
        <f>SmtRes!AD51*SmtRes!Y51*Source!I34</f>
        <v>17120.4143292</v>
      </c>
      <c r="J109" s="24"/>
      <c r="K109" s="24"/>
      <c r="L109" s="24"/>
      <c r="M109" s="24"/>
      <c r="N109" s="25"/>
    </row>
    <row r="110" spans="1:14" ht="28.5">
      <c r="A110" s="29"/>
      <c r="B110" s="32" t="str">
        <f>SmtRes!I52</f>
        <v>2</v>
      </c>
      <c r="C110" s="32" t="s">
        <v>711</v>
      </c>
      <c r="D110" s="30" t="str">
        <f>SmtRes!O52</f>
        <v>чел.час</v>
      </c>
      <c r="E110" s="30">
        <f>SmtRes!Y52</f>
        <v>15.175</v>
      </c>
      <c r="F110" s="30">
        <f>SmtRes!Y52*Source!I34</f>
        <v>11.19915</v>
      </c>
      <c r="G110" s="33">
        <f>(SmtRes!AA52+SmtRes!AB52+SmtRes!AD52)</f>
        <v>0</v>
      </c>
      <c r="H110" s="34">
        <f>(SmtRes!AA52*SmtRes!Y52*Source!I34+SmtRes!AB52*SmtRes!Y52*Source!I34+SmtRes!AD52*SmtRes!Y52*Source!I34)</f>
        <v>0</v>
      </c>
      <c r="I110" s="30"/>
      <c r="J110" s="30"/>
      <c r="K110" s="34">
        <f>SmtRes!AC52*SmtRes!Y52*Source!I34</f>
        <v>0</v>
      </c>
      <c r="L110" s="30"/>
      <c r="M110" s="30"/>
      <c r="N110" s="31"/>
    </row>
    <row r="111" spans="1:14" ht="58.5">
      <c r="A111" s="29"/>
      <c r="B111" s="32" t="str">
        <f>SmtRes!I53</f>
        <v>030954</v>
      </c>
      <c r="C111" s="32" t="s">
        <v>712</v>
      </c>
      <c r="D111" s="30" t="str">
        <f>SmtRes!O53</f>
        <v>маш.-ч</v>
      </c>
      <c r="E111" s="30">
        <f>SmtRes!Y53</f>
        <v>1.55</v>
      </c>
      <c r="F111" s="30">
        <f>SmtRes!Y53*Source!I34</f>
        <v>1.1439</v>
      </c>
      <c r="G111" s="33">
        <f>(SmtRes!AA53+SmtRes!AB53+SmtRes!AD53)</f>
        <v>246.77</v>
      </c>
      <c r="H111" s="34">
        <f>(SmtRes!AA53*SmtRes!Y53*Source!I34+SmtRes!AB53*SmtRes!Y53*Source!I34+SmtRes!AD53*SmtRes!Y53*Source!I34)</f>
        <v>282.28020300000003</v>
      </c>
      <c r="I111" s="30"/>
      <c r="J111" s="34">
        <f>SmtRes!AB53*SmtRes!Y53*Source!I34</f>
        <v>282.28020300000003</v>
      </c>
      <c r="K111" s="34">
        <f>SmtRes!AC53*SmtRes!Y53*Source!I34</f>
        <v>0</v>
      </c>
      <c r="L111" s="30"/>
      <c r="M111" s="30"/>
      <c r="N111" s="31"/>
    </row>
    <row r="112" spans="1:14" ht="28.5">
      <c r="A112" s="29"/>
      <c r="B112" s="32" t="str">
        <f>SmtRes!I54</f>
        <v>111500</v>
      </c>
      <c r="C112" s="32" t="s">
        <v>713</v>
      </c>
      <c r="D112" s="30" t="str">
        <f>SmtRes!O54</f>
        <v>маш.-ч</v>
      </c>
      <c r="E112" s="30">
        <f>SmtRes!Y54</f>
        <v>13.625</v>
      </c>
      <c r="F112" s="30">
        <f>SmtRes!Y54*Source!I34</f>
        <v>10.05525</v>
      </c>
      <c r="G112" s="33">
        <f>(SmtRes!AA54+SmtRes!AB54+SmtRes!AD54)</f>
        <v>146.8</v>
      </c>
      <c r="H112" s="34">
        <f>(SmtRes!AA54*SmtRes!Y54*Source!I34+SmtRes!AB54*SmtRes!Y54*Source!I34+SmtRes!AD54*SmtRes!Y54*Source!I34)</f>
        <v>1476.1107</v>
      </c>
      <c r="I112" s="30"/>
      <c r="J112" s="34">
        <f>SmtRes!AB54*SmtRes!Y54*Source!I34</f>
        <v>1476.1107</v>
      </c>
      <c r="K112" s="34">
        <f>SmtRes!AC54*SmtRes!Y54*Source!I34</f>
        <v>0</v>
      </c>
      <c r="L112" s="30"/>
      <c r="M112" s="30"/>
      <c r="N112" s="31"/>
    </row>
    <row r="113" spans="1:14" ht="43.5">
      <c r="A113" s="29"/>
      <c r="B113" s="32" t="str">
        <f>SmtRes!I55</f>
        <v>101-0179</v>
      </c>
      <c r="C113" s="32" t="s">
        <v>714</v>
      </c>
      <c r="D113" s="30" t="str">
        <f>SmtRes!O55</f>
        <v>т</v>
      </c>
      <c r="E113" s="30">
        <f>SmtRes!Y55</f>
        <v>0.00014</v>
      </c>
      <c r="F113" s="30">
        <f>SmtRes!Y55*Source!I34</f>
        <v>0.00010332</v>
      </c>
      <c r="G113" s="33">
        <f>(SmtRes!AA55+SmtRes!AB55+SmtRes!AD55)</f>
        <v>41060</v>
      </c>
      <c r="H113" s="34">
        <f>(SmtRes!AA55*SmtRes!Y55*Source!I34+SmtRes!AB55*SmtRes!Y55*Source!I34+SmtRes!AD55*SmtRes!Y55*Source!I34)</f>
        <v>4.2423192</v>
      </c>
      <c r="I113" s="30"/>
      <c r="J113" s="30"/>
      <c r="K113" s="30"/>
      <c r="L113" s="34">
        <f>SmtRes!AA55*SmtRes!Y55*Source!I34</f>
        <v>4.2423192</v>
      </c>
      <c r="M113" s="30"/>
      <c r="N113" s="31"/>
    </row>
    <row r="114" spans="1:14" ht="43.5">
      <c r="A114" s="29"/>
      <c r="B114" s="32" t="str">
        <f>SmtRes!I56</f>
        <v>101-0874</v>
      </c>
      <c r="C114" s="32" t="s">
        <v>715</v>
      </c>
      <c r="D114" s="30" t="str">
        <f>SmtRes!O56</f>
        <v>м2</v>
      </c>
      <c r="E114" s="30">
        <f>SmtRes!Y56</f>
        <v>5.54</v>
      </c>
      <c r="F114" s="30">
        <f>SmtRes!Y56*Source!I34</f>
        <v>4.08852</v>
      </c>
      <c r="G114" s="33">
        <f>(SmtRes!AA56+SmtRes!AB56+SmtRes!AD56)</f>
        <v>71.19</v>
      </c>
      <c r="H114" s="34">
        <f>(SmtRes!AA56*SmtRes!Y56*Source!I34+SmtRes!AB56*SmtRes!Y56*Source!I34+SmtRes!AD56*SmtRes!Y56*Source!I34)</f>
        <v>291.0617388</v>
      </c>
      <c r="I114" s="30"/>
      <c r="J114" s="30"/>
      <c r="K114" s="30"/>
      <c r="L114" s="34">
        <f>SmtRes!AA56*SmtRes!Y56*Source!I34</f>
        <v>291.0617388</v>
      </c>
      <c r="M114" s="30"/>
      <c r="N114" s="31"/>
    </row>
    <row r="115" spans="1:14" ht="58.5">
      <c r="A115" s="29"/>
      <c r="B115" s="32" t="str">
        <f>SmtRes!I57</f>
        <v>402-0083</v>
      </c>
      <c r="C115" s="32" t="s">
        <v>716</v>
      </c>
      <c r="D115" s="30" t="str">
        <f>SmtRes!O57</f>
        <v>м3</v>
      </c>
      <c r="E115" s="30">
        <f>SmtRes!Y57</f>
        <v>3.02</v>
      </c>
      <c r="F115" s="30">
        <f>SmtRes!Y57*Source!I34</f>
        <v>2.22876</v>
      </c>
      <c r="G115" s="33">
        <f>(SmtRes!AA57+SmtRes!AB57+SmtRes!AD57)</f>
        <v>0</v>
      </c>
      <c r="H115" s="34">
        <f>(SmtRes!AA57*SmtRes!Y57*Source!I34+SmtRes!AB57*SmtRes!Y57*Source!I34+SmtRes!AD57*SmtRes!Y57*Source!I34)</f>
        <v>0</v>
      </c>
      <c r="I115" s="30"/>
      <c r="J115" s="30"/>
      <c r="K115" s="30"/>
      <c r="L115" s="34">
        <f>SmtRes!AA57*SmtRes!Y57*Source!I34</f>
        <v>0</v>
      </c>
      <c r="M115" s="30"/>
      <c r="N115" s="31"/>
    </row>
    <row r="116" spans="1:14" ht="28.5">
      <c r="A116" s="35"/>
      <c r="B116" s="36" t="str">
        <f>SmtRes!I58</f>
        <v>405-0219</v>
      </c>
      <c r="C116" s="36" t="s">
        <v>717</v>
      </c>
      <c r="D116" s="37" t="str">
        <f>SmtRes!O58</f>
        <v>т</v>
      </c>
      <c r="E116" s="37">
        <f>SmtRes!Y58</f>
        <v>0.012</v>
      </c>
      <c r="F116" s="37">
        <f>SmtRes!Y58*Source!I34</f>
        <v>0.008856</v>
      </c>
      <c r="G116" s="38">
        <f>(SmtRes!AA58+SmtRes!AB58+SmtRes!AD58)</f>
        <v>10169.49</v>
      </c>
      <c r="H116" s="39">
        <f>(SmtRes!AA58*SmtRes!Y58*Source!I34+SmtRes!AB58*SmtRes!Y58*Source!I34+SmtRes!AD58*SmtRes!Y58*Source!I34)</f>
        <v>90.06100344</v>
      </c>
      <c r="I116" s="37"/>
      <c r="J116" s="37"/>
      <c r="K116" s="37"/>
      <c r="L116" s="39">
        <f>SmtRes!AA58*SmtRes!Y58*Source!I34</f>
        <v>90.06100344</v>
      </c>
      <c r="M116" s="37"/>
      <c r="N116" s="40"/>
    </row>
    <row r="117" spans="1:26" ht="42.75">
      <c r="A117" s="11" t="str">
        <f>IF(Source!E35&lt;&gt;"",Source!E35,"")</f>
        <v>12</v>
      </c>
      <c r="B117" s="11" t="str">
        <f>IF(Source!F35&lt;&gt;"",Source!F35,"")</f>
        <v>06-01-083-7</v>
      </c>
      <c r="C117" s="11" t="s">
        <v>718</v>
      </c>
      <c r="D117" s="12" t="str">
        <f>IF(Source!H35&lt;&gt;"",Source!H35,"")</f>
        <v>100 М3 РАСТВОРА</v>
      </c>
      <c r="E117" s="12" t="str">
        <f>IF(Source!J35=0," ",Source!J35)</f>
        <v> </v>
      </c>
      <c r="F117" s="13">
        <f>Source!I35</f>
        <v>0.0223</v>
      </c>
      <c r="G117" s="14">
        <f>IF(Source!AB35=0," ",Source!AB35)</f>
        <v>511415.99</v>
      </c>
      <c r="H117" s="15">
        <f>IF(Source!O35=0," ",Source!O35)</f>
        <v>11404</v>
      </c>
      <c r="I117" s="15">
        <f>IF(Source!S35=0," ",Source!S35)</f>
        <v>702</v>
      </c>
      <c r="J117" s="15">
        <f>IF(Source!Q35=0," ",Source!Q35)</f>
        <v>288</v>
      </c>
      <c r="K117" s="15" t="str">
        <f>IF(Source!R35=0," ",Source!R35)</f>
        <v> </v>
      </c>
      <c r="L117" s="15">
        <f>IF(Source!P35=0," ",Source!P35)</f>
        <v>10414</v>
      </c>
      <c r="M117" s="16">
        <f>IF(Source!U35=0," ",ROUND(Source!U35,6))</f>
        <v>6.10128</v>
      </c>
      <c r="N117" s="16">
        <f>IF(Source!V35=0," ",ROUND(Source!V35,6))</f>
        <v>1.132394</v>
      </c>
      <c r="T117">
        <f>IF(Source!O35=0," ",Source!O35)</f>
        <v>11404</v>
      </c>
      <c r="U117">
        <v>10414</v>
      </c>
      <c r="V117">
        <f>IF(Source!S35=0," ",Source!S35)</f>
        <v>702</v>
      </c>
      <c r="W117">
        <f>IF(Source!Q35=0," ",Source!Q35)</f>
        <v>288</v>
      </c>
      <c r="X117" t="str">
        <f>IF(Source!R35=0," ",Source!R35)</f>
        <v> </v>
      </c>
      <c r="Y117">
        <f>IF(Source!U35=0," ",ROUND(Source!U35,6))</f>
        <v>6.10128</v>
      </c>
      <c r="Z117">
        <f>IF(Source!V35=0," ",ROUND(Source!V35,6))</f>
        <v>1.132394</v>
      </c>
    </row>
    <row r="118" spans="1:14" ht="15">
      <c r="A118" s="46"/>
      <c r="B118" s="46"/>
      <c r="C118" s="17" t="s">
        <v>257</v>
      </c>
      <c r="D118" s="18" t="str">
        <f>CONCATENATE(Source!AT35," %")</f>
        <v>56,1 %</v>
      </c>
      <c r="E118" s="18"/>
      <c r="F118" s="18"/>
      <c r="G118" s="18"/>
      <c r="H118" s="19">
        <f>Source!X35</f>
        <v>394</v>
      </c>
      <c r="I118" s="46"/>
      <c r="J118" s="46"/>
      <c r="K118" s="46"/>
      <c r="L118" s="46"/>
      <c r="M118" s="46"/>
      <c r="N118" s="46"/>
    </row>
    <row r="119" spans="1:14" ht="15">
      <c r="A119" s="46"/>
      <c r="B119" s="46"/>
      <c r="C119" s="17" t="s">
        <v>259</v>
      </c>
      <c r="D119" s="18" t="str">
        <f>CONCATENATE(Source!AU35," %")</f>
        <v>32 %</v>
      </c>
      <c r="E119" s="18"/>
      <c r="F119" s="18"/>
      <c r="G119" s="18"/>
      <c r="H119" s="19">
        <f>Source!Y35</f>
        <v>225</v>
      </c>
      <c r="I119" s="46"/>
      <c r="J119" s="46"/>
      <c r="K119" s="46"/>
      <c r="L119" s="46"/>
      <c r="M119" s="46"/>
      <c r="N119" s="46"/>
    </row>
    <row r="120" spans="1:14" ht="14.25">
      <c r="A120" s="47"/>
      <c r="B120" s="47"/>
      <c r="C120" s="20" t="s">
        <v>680</v>
      </c>
      <c r="D120" s="21"/>
      <c r="E120" s="21"/>
      <c r="F120" s="21"/>
      <c r="G120" s="21"/>
      <c r="H120" s="22">
        <f>SUMIF(Source!AA35:Source!AA35,"=26994759",Source!GM35:Source!GM35)</f>
        <v>12023</v>
      </c>
      <c r="I120" s="47"/>
      <c r="J120" s="47"/>
      <c r="K120" s="47"/>
      <c r="L120" s="47"/>
      <c r="M120" s="47"/>
      <c r="N120" s="47"/>
    </row>
    <row r="121" spans="1:14" ht="30">
      <c r="A121" s="23"/>
      <c r="B121" s="26" t="str">
        <f>SmtRes!I59</f>
        <v>1-1020</v>
      </c>
      <c r="C121" s="26" t="str">
        <f>SmtRes!K59</f>
        <v>Рабочий строитель среднего разряда 2</v>
      </c>
      <c r="D121" s="24" t="str">
        <f>SmtRes!O59</f>
        <v>чел.-ч</v>
      </c>
      <c r="E121" s="24">
        <f>SmtRes!Y59</f>
        <v>273.6</v>
      </c>
      <c r="F121" s="24">
        <f>SmtRes!Y59*Source!I35</f>
        <v>6.101280000000001</v>
      </c>
      <c r="G121" s="27">
        <f>(SmtRes!AA59+SmtRes!AB59+SmtRes!AD59)</f>
        <v>115.12</v>
      </c>
      <c r="H121" s="28">
        <f>(SmtRes!AA59*SmtRes!Y59*Source!I35+SmtRes!AB59*SmtRes!Y59*Source!I35+SmtRes!AD59*SmtRes!Y59*Source!I35)</f>
        <v>702.3793536000001</v>
      </c>
      <c r="I121" s="28">
        <f>SmtRes!AD59*SmtRes!Y59*Source!I35</f>
        <v>702.3793536000001</v>
      </c>
      <c r="J121" s="24"/>
      <c r="K121" s="24"/>
      <c r="L121" s="24"/>
      <c r="M121" s="24"/>
      <c r="N121" s="25"/>
    </row>
    <row r="122" spans="1:14" ht="15">
      <c r="A122" s="29"/>
      <c r="B122" s="32" t="str">
        <f>SmtRes!I60</f>
        <v>2</v>
      </c>
      <c r="C122" s="32" t="str">
        <f>SmtRes!K60</f>
        <v>Затраты труда машинистов</v>
      </c>
      <c r="D122" s="30" t="str">
        <f>SmtRes!O60</f>
        <v>чел.час</v>
      </c>
      <c r="E122" s="30">
        <f>SmtRes!Y60</f>
        <v>50.78</v>
      </c>
      <c r="F122" s="30">
        <f>SmtRes!Y60*Source!I35</f>
        <v>1.1323940000000001</v>
      </c>
      <c r="G122" s="33">
        <f>(SmtRes!AA60+SmtRes!AB60+SmtRes!AD60)</f>
        <v>0</v>
      </c>
      <c r="H122" s="34">
        <f>(SmtRes!AA60*SmtRes!Y60*Source!I35+SmtRes!AB60*SmtRes!Y60*Source!I35+SmtRes!AD60*SmtRes!Y60*Source!I35)</f>
        <v>0</v>
      </c>
      <c r="I122" s="30"/>
      <c r="J122" s="30"/>
      <c r="K122" s="34">
        <f>SmtRes!AC60*SmtRes!Y60*Source!I35</f>
        <v>0</v>
      </c>
      <c r="L122" s="30"/>
      <c r="M122" s="30"/>
      <c r="N122" s="31"/>
    </row>
    <row r="123" spans="1:14" ht="15">
      <c r="A123" s="29"/>
      <c r="B123" s="32" t="str">
        <f>SmtRes!I61</f>
        <v>030101</v>
      </c>
      <c r="C123" s="32" t="str">
        <f>SmtRes!K61</f>
        <v>Автопогрузчики 5 т</v>
      </c>
      <c r="D123" s="30" t="str">
        <f>SmtRes!O61</f>
        <v>маш.-ч</v>
      </c>
      <c r="E123" s="30">
        <f>SmtRes!Y61</f>
        <v>14.82</v>
      </c>
      <c r="F123" s="30">
        <f>SmtRes!Y61*Source!I35</f>
        <v>0.330486</v>
      </c>
      <c r="G123" s="33">
        <f>(SmtRes!AA61+SmtRes!AB61+SmtRes!AD61)</f>
        <v>490.2</v>
      </c>
      <c r="H123" s="34">
        <f>(SmtRes!AA61*SmtRes!Y61*Source!I35+SmtRes!AB61*SmtRes!Y61*Source!I35+SmtRes!AD61*SmtRes!Y61*Source!I35)</f>
        <v>162.0042372</v>
      </c>
      <c r="I123" s="30"/>
      <c r="J123" s="34">
        <f>SmtRes!AB61*SmtRes!Y61*Source!I35</f>
        <v>162.0042372</v>
      </c>
      <c r="K123" s="34">
        <f>SmtRes!AC61*SmtRes!Y61*Source!I35</f>
        <v>0</v>
      </c>
      <c r="L123" s="30"/>
      <c r="M123" s="30"/>
      <c r="N123" s="31"/>
    </row>
    <row r="124" spans="1:14" ht="30">
      <c r="A124" s="29"/>
      <c r="B124" s="32" t="str">
        <f>SmtRes!I62</f>
        <v>110902</v>
      </c>
      <c r="C124" s="32" t="str">
        <f>SmtRes!K62</f>
        <v>Растворосмесители передвижные 250 л</v>
      </c>
      <c r="D124" s="30" t="str">
        <f>SmtRes!O62</f>
        <v>маш.-ч</v>
      </c>
      <c r="E124" s="30">
        <f>SmtRes!Y62</f>
        <v>35.96</v>
      </c>
      <c r="F124" s="30">
        <f>SmtRes!Y62*Source!I35</f>
        <v>0.8019080000000001</v>
      </c>
      <c r="G124" s="33">
        <f>(SmtRes!AA62+SmtRes!AB62+SmtRes!AD62)</f>
        <v>157.72</v>
      </c>
      <c r="H124" s="34">
        <f>(SmtRes!AA62*SmtRes!Y62*Source!I35+SmtRes!AB62*SmtRes!Y62*Source!I35+SmtRes!AD62*SmtRes!Y62*Source!I35)</f>
        <v>126.47692976</v>
      </c>
      <c r="I124" s="30"/>
      <c r="J124" s="34">
        <f>SmtRes!AB62*SmtRes!Y62*Source!I35</f>
        <v>126.47692976</v>
      </c>
      <c r="K124" s="34">
        <f>SmtRes!AC62*SmtRes!Y62*Source!I35</f>
        <v>0</v>
      </c>
      <c r="L124" s="30"/>
      <c r="M124" s="30"/>
      <c r="N124" s="31"/>
    </row>
    <row r="125" spans="1:14" ht="15">
      <c r="A125" s="35"/>
      <c r="B125" s="36">
        <f>SmtRes!I63</f>
      </c>
      <c r="C125" s="36" t="str">
        <f>SmtRes!K63</f>
        <v>Штукатурка цементно-песчаная</v>
      </c>
      <c r="D125" s="37" t="str">
        <f>SmtRes!O63</f>
        <v>т</v>
      </c>
      <c r="E125" s="37">
        <f>SmtRes!Y63</f>
        <v>65.6</v>
      </c>
      <c r="F125" s="37">
        <f>SmtRes!Y63*Source!I35</f>
        <v>1.46288</v>
      </c>
      <c r="G125" s="38">
        <f>(SmtRes!AA63+SmtRes!AB63+SmtRes!AD63)</f>
        <v>7118.64</v>
      </c>
      <c r="H125" s="39">
        <f>(SmtRes!AA63*SmtRes!Y63*Source!I35+SmtRes!AB63*SmtRes!Y63*Source!I35+SmtRes!AD63*SmtRes!Y63*Source!I35)</f>
        <v>10413.716083199999</v>
      </c>
      <c r="I125" s="37"/>
      <c r="J125" s="37"/>
      <c r="K125" s="37"/>
      <c r="L125" s="39">
        <f>SmtRes!AA63*SmtRes!Y63*Source!I35</f>
        <v>10413.716083199999</v>
      </c>
      <c r="M125" s="37"/>
      <c r="N125" s="40"/>
    </row>
    <row r="126" spans="1:26" ht="68.25">
      <c r="A126" s="11" t="str">
        <f>IF(Source!E36&lt;&gt;"",Source!E36,"")</f>
        <v>13</v>
      </c>
      <c r="B126" s="11" t="str">
        <f>IF(Source!F36&lt;&gt;"",Source!F36,"")</f>
        <v>15-01-019-5</v>
      </c>
      <c r="C126" s="11" t="s">
        <v>719</v>
      </c>
      <c r="D126" s="12" t="str">
        <f>IF(Source!H36&lt;&gt;"",Source!H36,"")</f>
        <v>100 м2 поверхности облицовки</v>
      </c>
      <c r="E126" s="12" t="str">
        <f>IF(Source!J36=0," ",Source!J36)</f>
        <v> </v>
      </c>
      <c r="F126" s="13">
        <f>Source!I36</f>
        <v>0.738</v>
      </c>
      <c r="G126" s="14">
        <f>IF(Source!AB36=0," ",Source!AB36)</f>
        <v>66870.8</v>
      </c>
      <c r="H126" s="15">
        <f>IF(Source!O36=0," ",Source!O36)</f>
        <v>49351</v>
      </c>
      <c r="I126" s="15">
        <f>IF(Source!S36=0," ",Source!S36)</f>
        <v>18343</v>
      </c>
      <c r="J126" s="15">
        <f>IF(Source!Q36=0," ",Source!Q36)</f>
        <v>270</v>
      </c>
      <c r="K126" s="15" t="str">
        <f>IF(Source!R36=0," ",Source!R36)</f>
        <v> </v>
      </c>
      <c r="L126" s="15">
        <f>IF(Source!P36=0," ",Source!P36)</f>
        <v>30738</v>
      </c>
      <c r="M126" s="16">
        <f>IF(Source!U36=0," ",ROUND(Source!U36,6))</f>
        <v>135.511929</v>
      </c>
      <c r="N126" s="16">
        <f>IF(Source!V36=0," ",ROUND(Source!V36,6))</f>
        <v>1.522125</v>
      </c>
      <c r="T126">
        <f>IF(Source!O36=0," ",Source!O36)</f>
        <v>49351</v>
      </c>
      <c r="U126">
        <v>30738</v>
      </c>
      <c r="V126">
        <f>IF(Source!S36=0," ",Source!S36)</f>
        <v>18343</v>
      </c>
      <c r="W126">
        <f>IF(Source!Q36=0," ",Source!Q36)</f>
        <v>270</v>
      </c>
      <c r="X126" t="str">
        <f>IF(Source!R36=0," ",Source!R36)</f>
        <v> </v>
      </c>
      <c r="Y126">
        <f>IF(Source!U36=0," ",ROUND(Source!U36,6))</f>
        <v>135.511929</v>
      </c>
      <c r="Z126">
        <f>IF(Source!V36=0," ",ROUND(Source!V36,6))</f>
        <v>1.522125</v>
      </c>
    </row>
    <row r="127" spans="1:14" ht="15">
      <c r="A127" s="46"/>
      <c r="B127" s="46"/>
      <c r="C127" s="17" t="s">
        <v>257</v>
      </c>
      <c r="D127" s="18" t="str">
        <f>CONCATENATE(Source!AT36," %")</f>
        <v>80,33 %</v>
      </c>
      <c r="E127" s="18"/>
      <c r="F127" s="18"/>
      <c r="G127" s="18"/>
      <c r="H127" s="19">
        <f>Source!X36</f>
        <v>14735</v>
      </c>
      <c r="I127" s="46"/>
      <c r="J127" s="46"/>
      <c r="K127" s="46"/>
      <c r="L127" s="46"/>
      <c r="M127" s="46"/>
      <c r="N127" s="46"/>
    </row>
    <row r="128" spans="1:14" ht="15">
      <c r="A128" s="46"/>
      <c r="B128" s="46"/>
      <c r="C128" s="17" t="s">
        <v>259</v>
      </c>
      <c r="D128" s="18" t="str">
        <f>CONCATENATE(Source!AU36," %")</f>
        <v>37,4 %</v>
      </c>
      <c r="E128" s="18"/>
      <c r="F128" s="18"/>
      <c r="G128" s="18"/>
      <c r="H128" s="19">
        <f>Source!Y36</f>
        <v>6860</v>
      </c>
      <c r="I128" s="46"/>
      <c r="J128" s="46"/>
      <c r="K128" s="46"/>
      <c r="L128" s="46"/>
      <c r="M128" s="46"/>
      <c r="N128" s="46"/>
    </row>
    <row r="129" spans="1:14" ht="14.25">
      <c r="A129" s="47"/>
      <c r="B129" s="47"/>
      <c r="C129" s="20" t="s">
        <v>680</v>
      </c>
      <c r="D129" s="21"/>
      <c r="E129" s="21"/>
      <c r="F129" s="21"/>
      <c r="G129" s="21"/>
      <c r="H129" s="22">
        <f>SUMIF(Source!AA36:Source!AA36,"=26994759",Source!GM36:Source!GM36)</f>
        <v>70946</v>
      </c>
      <c r="I129" s="47"/>
      <c r="J129" s="47"/>
      <c r="K129" s="47"/>
      <c r="L129" s="47"/>
      <c r="M129" s="47"/>
      <c r="N129" s="47"/>
    </row>
    <row r="130" spans="1:14" ht="43.5">
      <c r="A130" s="23"/>
      <c r="B130" s="26" t="str">
        <f>SmtRes!I64</f>
        <v>1-1036</v>
      </c>
      <c r="C130" s="26" t="s">
        <v>720</v>
      </c>
      <c r="D130" s="24" t="str">
        <f>SmtRes!O64</f>
        <v>чел.-ч</v>
      </c>
      <c r="E130" s="24">
        <f>SmtRes!Y64</f>
        <v>183.62049999999996</v>
      </c>
      <c r="F130" s="24">
        <f>SmtRes!Y64*Source!I36</f>
        <v>135.51192899999998</v>
      </c>
      <c r="G130" s="27">
        <f>(SmtRes!AA64+SmtRes!AB64+SmtRes!AD64)</f>
        <v>135.36</v>
      </c>
      <c r="H130" s="28">
        <f>(SmtRes!AA64*SmtRes!Y64*Source!I36+SmtRes!AB64*SmtRes!Y64*Source!I36+SmtRes!AD64*SmtRes!Y64*Source!I36)</f>
        <v>18342.89470944</v>
      </c>
      <c r="I130" s="28">
        <f>SmtRes!AD64*SmtRes!Y64*Source!I36</f>
        <v>18342.89470944</v>
      </c>
      <c r="J130" s="24"/>
      <c r="K130" s="24"/>
      <c r="L130" s="24"/>
      <c r="M130" s="24"/>
      <c r="N130" s="25"/>
    </row>
    <row r="131" spans="1:14" ht="28.5">
      <c r="A131" s="29"/>
      <c r="B131" s="32" t="str">
        <f>SmtRes!I65</f>
        <v>2</v>
      </c>
      <c r="C131" s="32" t="s">
        <v>687</v>
      </c>
      <c r="D131" s="30" t="str">
        <f>SmtRes!O65</f>
        <v>чел.час</v>
      </c>
      <c r="E131" s="30">
        <f>SmtRes!Y65</f>
        <v>2.0625</v>
      </c>
      <c r="F131" s="30">
        <f>SmtRes!Y65*Source!I36</f>
        <v>1.522125</v>
      </c>
      <c r="G131" s="33">
        <f>(SmtRes!AA65+SmtRes!AB65+SmtRes!AD65)</f>
        <v>0</v>
      </c>
      <c r="H131" s="34">
        <f>(SmtRes!AA65*SmtRes!Y65*Source!I36+SmtRes!AB65*SmtRes!Y65*Source!I36+SmtRes!AD65*SmtRes!Y65*Source!I36)</f>
        <v>0</v>
      </c>
      <c r="I131" s="30"/>
      <c r="J131" s="30"/>
      <c r="K131" s="34">
        <f>SmtRes!AC65*SmtRes!Y65*Source!I36</f>
        <v>0</v>
      </c>
      <c r="L131" s="30"/>
      <c r="M131" s="30"/>
      <c r="N131" s="31"/>
    </row>
    <row r="132" spans="1:14" ht="28.5">
      <c r="A132" s="29"/>
      <c r="B132" s="32" t="str">
        <f>SmtRes!I66</f>
        <v>030101</v>
      </c>
      <c r="C132" s="32" t="s">
        <v>721</v>
      </c>
      <c r="D132" s="30" t="str">
        <f>SmtRes!O66</f>
        <v>маш.-ч</v>
      </c>
      <c r="E132" s="30">
        <f>SmtRes!Y66</f>
        <v>0.1</v>
      </c>
      <c r="F132" s="30">
        <f>SmtRes!Y66*Source!I36</f>
        <v>0.0738</v>
      </c>
      <c r="G132" s="33">
        <f>(SmtRes!AA66+SmtRes!AB66+SmtRes!AD66)</f>
        <v>490.2</v>
      </c>
      <c r="H132" s="34">
        <f>(SmtRes!AA66*SmtRes!Y66*Source!I36+SmtRes!AB66*SmtRes!Y66*Source!I36+SmtRes!AD66*SmtRes!Y66*Source!I36)</f>
        <v>36.17676</v>
      </c>
      <c r="I132" s="30"/>
      <c r="J132" s="34">
        <f>SmtRes!AB66*SmtRes!Y66*Source!I36</f>
        <v>36.17676</v>
      </c>
      <c r="K132" s="34">
        <f>SmtRes!AC66*SmtRes!Y66*Source!I36</f>
        <v>0</v>
      </c>
      <c r="L132" s="30"/>
      <c r="M132" s="30"/>
      <c r="N132" s="31"/>
    </row>
    <row r="133" spans="1:14" ht="58.5">
      <c r="A133" s="29"/>
      <c r="B133" s="32" t="str">
        <f>SmtRes!I67</f>
        <v>030954</v>
      </c>
      <c r="C133" s="32" t="s">
        <v>699</v>
      </c>
      <c r="D133" s="30" t="str">
        <f>SmtRes!O67</f>
        <v>маш.-ч</v>
      </c>
      <c r="E133" s="30">
        <f>SmtRes!Y67</f>
        <v>0.3375</v>
      </c>
      <c r="F133" s="30">
        <f>SmtRes!Y67*Source!I36</f>
        <v>0.24907500000000002</v>
      </c>
      <c r="G133" s="33">
        <f>(SmtRes!AA67+SmtRes!AB67+SmtRes!AD67)</f>
        <v>246.77</v>
      </c>
      <c r="H133" s="34">
        <f>(SmtRes!AA67*SmtRes!Y67*Source!I36+SmtRes!AB67*SmtRes!Y67*Source!I36+SmtRes!AD67*SmtRes!Y67*Source!I36)</f>
        <v>61.46423775000001</v>
      </c>
      <c r="I133" s="30"/>
      <c r="J133" s="34">
        <f>SmtRes!AB67*SmtRes!Y67*Source!I36</f>
        <v>61.46423775000001</v>
      </c>
      <c r="K133" s="34">
        <f>SmtRes!AC67*SmtRes!Y67*Source!I36</f>
        <v>0</v>
      </c>
      <c r="L133" s="30"/>
      <c r="M133" s="30"/>
      <c r="N133" s="31"/>
    </row>
    <row r="134" spans="1:14" ht="43.5">
      <c r="A134" s="29"/>
      <c r="B134" s="32" t="str">
        <f>SmtRes!I68</f>
        <v>110901</v>
      </c>
      <c r="C134" s="32" t="s">
        <v>722</v>
      </c>
      <c r="D134" s="30" t="str">
        <f>SmtRes!O68</f>
        <v>маш.-ч</v>
      </c>
      <c r="E134" s="30">
        <f>SmtRes!Y68</f>
        <v>1.625</v>
      </c>
      <c r="F134" s="30">
        <f>SmtRes!Y68*Source!I36</f>
        <v>1.19925</v>
      </c>
      <c r="G134" s="33">
        <f>(SmtRes!AA68+SmtRes!AB68+SmtRes!AD68)</f>
        <v>143.88</v>
      </c>
      <c r="H134" s="34">
        <f>(SmtRes!AA68*SmtRes!Y68*Source!I36+SmtRes!AB68*SmtRes!Y68*Source!I36+SmtRes!AD68*SmtRes!Y68*Source!I36)</f>
        <v>172.54809</v>
      </c>
      <c r="I134" s="30"/>
      <c r="J134" s="34">
        <f>SmtRes!AB68*SmtRes!Y68*Source!I36</f>
        <v>172.54809</v>
      </c>
      <c r="K134" s="34">
        <f>SmtRes!AC68*SmtRes!Y68*Source!I36</f>
        <v>0</v>
      </c>
      <c r="L134" s="30"/>
      <c r="M134" s="30"/>
      <c r="N134" s="31"/>
    </row>
    <row r="135" spans="1:14" ht="45">
      <c r="A135" s="29"/>
      <c r="B135" s="32" t="str">
        <f>SmtRes!I69</f>
        <v>101-0256</v>
      </c>
      <c r="C135" s="32" t="str">
        <f>SmtRes!K69</f>
        <v>Плитки керамические глазурованные для внутренней облицовки стен гладкие без завала белые</v>
      </c>
      <c r="D135" s="30" t="str">
        <f>SmtRes!O69</f>
        <v>м2</v>
      </c>
      <c r="E135" s="30">
        <f>SmtRes!Y69</f>
        <v>105</v>
      </c>
      <c r="F135" s="30">
        <f>SmtRes!Y69*Source!I36</f>
        <v>77.49</v>
      </c>
      <c r="G135" s="33">
        <f>(SmtRes!AA69+SmtRes!AB69+SmtRes!AD69)</f>
        <v>333.26</v>
      </c>
      <c r="H135" s="34">
        <f>(SmtRes!AA69*SmtRes!Y69*Source!I36+SmtRes!AB69*SmtRes!Y69*Source!I36+SmtRes!AD69*SmtRes!Y69*Source!I36)</f>
        <v>25824.317399999996</v>
      </c>
      <c r="I135" s="30"/>
      <c r="J135" s="30"/>
      <c r="K135" s="30"/>
      <c r="L135" s="34">
        <f>SmtRes!AA69*SmtRes!Y69*Source!I36</f>
        <v>25824.317399999996</v>
      </c>
      <c r="M135" s="30"/>
      <c r="N135" s="31"/>
    </row>
    <row r="136" spans="1:14" ht="15">
      <c r="A136" s="29"/>
      <c r="B136" s="32" t="str">
        <f>SmtRes!I70</f>
        <v>101-1757</v>
      </c>
      <c r="C136" s="32" t="str">
        <f>SmtRes!K70</f>
        <v>Ветошь</v>
      </c>
      <c r="D136" s="30" t="str">
        <f>SmtRes!O70</f>
        <v>кг</v>
      </c>
      <c r="E136" s="30">
        <f>SmtRes!Y70</f>
        <v>0.5</v>
      </c>
      <c r="F136" s="30">
        <f>SmtRes!Y70*Source!I36</f>
        <v>0.369</v>
      </c>
      <c r="G136" s="33">
        <f>(SmtRes!AA70+SmtRes!AB70+SmtRes!AD70)</f>
        <v>52.32</v>
      </c>
      <c r="H136" s="34">
        <f>(SmtRes!AA70*SmtRes!Y70*Source!I36+SmtRes!AB70*SmtRes!Y70*Source!I36+SmtRes!AD70*SmtRes!Y70*Source!I36)</f>
        <v>19.30608</v>
      </c>
      <c r="I136" s="30"/>
      <c r="J136" s="30"/>
      <c r="K136" s="30"/>
      <c r="L136" s="34">
        <f>SmtRes!AA70*SmtRes!Y70*Source!I36</f>
        <v>19.30608</v>
      </c>
      <c r="M136" s="30"/>
      <c r="N136" s="31"/>
    </row>
    <row r="137" spans="1:14" ht="30">
      <c r="A137" s="29"/>
      <c r="B137" s="32" t="str">
        <f>SmtRes!I71</f>
        <v>101-1776</v>
      </c>
      <c r="C137" s="32" t="str">
        <f>SmtRes!K71</f>
        <v>Клей для облицовочных работ водостойкий «Плюс» (сухая смесь)</v>
      </c>
      <c r="D137" s="30" t="str">
        <f>SmtRes!O71</f>
        <v>т</v>
      </c>
      <c r="E137" s="30">
        <f>SmtRes!Y71</f>
        <v>0.375</v>
      </c>
      <c r="F137" s="30">
        <f>SmtRes!Y71*Source!I36</f>
        <v>0.27675</v>
      </c>
      <c r="G137" s="33">
        <f>(SmtRes!AA71+SmtRes!AB71+SmtRes!AD71)</f>
        <v>10338.98</v>
      </c>
      <c r="H137" s="34">
        <f>(SmtRes!AA71*SmtRes!Y71*Source!I36+SmtRes!AB71*SmtRes!Y71*Source!I36+SmtRes!AD71*SmtRes!Y71*Source!I36)</f>
        <v>2861.312715</v>
      </c>
      <c r="I137" s="30"/>
      <c r="J137" s="30"/>
      <c r="K137" s="30"/>
      <c r="L137" s="34">
        <f>SmtRes!AA71*SmtRes!Y71*Source!I36</f>
        <v>2861.312715</v>
      </c>
      <c r="M137" s="30"/>
      <c r="N137" s="31"/>
    </row>
    <row r="138" spans="1:14" ht="30">
      <c r="A138" s="35"/>
      <c r="B138" s="36" t="str">
        <f>SmtRes!I72</f>
        <v>402-0071</v>
      </c>
      <c r="C138" s="36" t="str">
        <f>SmtRes!K72</f>
        <v>Смесь сухая (фуга) АТЛАС разных цветов для заделки швов водостойкая</v>
      </c>
      <c r="D138" s="37" t="str">
        <f>SmtRes!O72</f>
        <v>т</v>
      </c>
      <c r="E138" s="37">
        <f>SmtRes!Y72</f>
        <v>0.05</v>
      </c>
      <c r="F138" s="37">
        <f>SmtRes!Y72*Source!I36</f>
        <v>0.0369</v>
      </c>
      <c r="G138" s="38">
        <f>(SmtRes!AA72+SmtRes!AB72+SmtRes!AD72)</f>
        <v>55084.75</v>
      </c>
      <c r="H138" s="39">
        <f>(SmtRes!AA72*SmtRes!Y72*Source!I36+SmtRes!AB72*SmtRes!Y72*Source!I36+SmtRes!AD72*SmtRes!Y72*Source!I36)</f>
        <v>2032.627275</v>
      </c>
      <c r="I138" s="37"/>
      <c r="J138" s="37"/>
      <c r="K138" s="37"/>
      <c r="L138" s="39">
        <f>SmtRes!AA72*SmtRes!Y72*Source!I36</f>
        <v>2032.627275</v>
      </c>
      <c r="M138" s="37"/>
      <c r="N138" s="40"/>
    </row>
    <row r="139" spans="1:26" ht="68.25">
      <c r="A139" s="11" t="str">
        <f>IF(Source!E37&lt;&gt;"",Source!E37,"")</f>
        <v>14</v>
      </c>
      <c r="B139" s="11" t="str">
        <f>IF(Source!F37&lt;&gt;"",Source!F37,"")</f>
        <v>15-04-006-3</v>
      </c>
      <c r="C139" s="11" t="s">
        <v>705</v>
      </c>
      <c r="D139" s="12" t="str">
        <f>IF(Source!H37&lt;&gt;"",Source!H37,"")</f>
        <v>100 м2 покрытия</v>
      </c>
      <c r="E139" s="12" t="str">
        <f>IF(Source!J37=0," ",Source!J37)</f>
        <v> </v>
      </c>
      <c r="F139" s="13">
        <f>Source!I37</f>
        <v>0.502</v>
      </c>
      <c r="G139" s="14">
        <f>IF(Source!AB37=0," ",Source!AB37)</f>
        <v>1733.43</v>
      </c>
      <c r="H139" s="15">
        <f>IF(Source!O37=0," ",Source!O37)</f>
        <v>870</v>
      </c>
      <c r="I139" s="15">
        <f>IF(Source!S37=0," ",Source!S37)</f>
        <v>536</v>
      </c>
      <c r="J139" s="15">
        <f>IF(Source!Q37=0," ",Source!Q37)</f>
        <v>6</v>
      </c>
      <c r="K139" s="15" t="str">
        <f>IF(Source!R37=0," ",Source!R37)</f>
        <v> </v>
      </c>
      <c r="L139" s="15">
        <f>IF(Source!P37=0," ",Source!P37)</f>
        <v>328</v>
      </c>
      <c r="M139" s="16">
        <f>IF(Source!U37=0," ",ROUND(Source!U37,6))</f>
        <v>3.781315</v>
      </c>
      <c r="N139" s="16">
        <f>IF(Source!V37=0," ",ROUND(Source!V37,6))</f>
        <v>0.006275</v>
      </c>
      <c r="T139">
        <f>IF(Source!O37=0," ",Source!O37)</f>
        <v>870</v>
      </c>
      <c r="U139">
        <v>328</v>
      </c>
      <c r="V139">
        <f>IF(Source!S37=0," ",Source!S37)</f>
        <v>536</v>
      </c>
      <c r="W139">
        <f>IF(Source!Q37=0," ",Source!Q37)</f>
        <v>6</v>
      </c>
      <c r="X139" t="str">
        <f>IF(Source!R37=0," ",Source!R37)</f>
        <v> </v>
      </c>
      <c r="Y139">
        <f>IF(Source!U37=0," ",ROUND(Source!U37,6))</f>
        <v>3.781315</v>
      </c>
      <c r="Z139">
        <f>IF(Source!V37=0," ",ROUND(Source!V37,6))</f>
        <v>0.006275</v>
      </c>
    </row>
    <row r="140" spans="1:14" ht="15">
      <c r="A140" s="46"/>
      <c r="B140" s="46"/>
      <c r="C140" s="17" t="s">
        <v>257</v>
      </c>
      <c r="D140" s="18" t="str">
        <f>CONCATENATE(Source!AT37," %")</f>
        <v>80,33 %</v>
      </c>
      <c r="E140" s="18"/>
      <c r="F140" s="18"/>
      <c r="G140" s="18"/>
      <c r="H140" s="19">
        <f>Source!X37</f>
        <v>431</v>
      </c>
      <c r="I140" s="46"/>
      <c r="J140" s="46"/>
      <c r="K140" s="46"/>
      <c r="L140" s="46"/>
      <c r="M140" s="46"/>
      <c r="N140" s="46"/>
    </row>
    <row r="141" spans="1:14" ht="15">
      <c r="A141" s="46"/>
      <c r="B141" s="46"/>
      <c r="C141" s="17" t="s">
        <v>259</v>
      </c>
      <c r="D141" s="18" t="str">
        <f>CONCATENATE(Source!AU37," %")</f>
        <v>37,4 %</v>
      </c>
      <c r="E141" s="18"/>
      <c r="F141" s="18"/>
      <c r="G141" s="18"/>
      <c r="H141" s="19">
        <f>Source!Y37</f>
        <v>200</v>
      </c>
      <c r="I141" s="46"/>
      <c r="J141" s="46"/>
      <c r="K141" s="46"/>
      <c r="L141" s="46"/>
      <c r="M141" s="46"/>
      <c r="N141" s="46"/>
    </row>
    <row r="142" spans="1:14" ht="14.25">
      <c r="A142" s="47"/>
      <c r="B142" s="47"/>
      <c r="C142" s="20" t="s">
        <v>680</v>
      </c>
      <c r="D142" s="21"/>
      <c r="E142" s="21"/>
      <c r="F142" s="21"/>
      <c r="G142" s="21"/>
      <c r="H142" s="22">
        <f>SUMIF(Source!AA37:Source!AA37,"=26994759",Source!GM37:Source!GM37)</f>
        <v>1501</v>
      </c>
      <c r="I142" s="47"/>
      <c r="J142" s="47"/>
      <c r="K142" s="47"/>
      <c r="L142" s="47"/>
      <c r="M142" s="47"/>
      <c r="N142" s="47"/>
    </row>
    <row r="143" spans="1:14" ht="43.5">
      <c r="A143" s="23"/>
      <c r="B143" s="26" t="str">
        <f>SmtRes!I73</f>
        <v>1-1040</v>
      </c>
      <c r="C143" s="26" t="s">
        <v>698</v>
      </c>
      <c r="D143" s="24" t="str">
        <f>SmtRes!O73</f>
        <v>чел.-ч</v>
      </c>
      <c r="E143" s="24">
        <f>SmtRes!Y73</f>
        <v>7.532499999999999</v>
      </c>
      <c r="F143" s="24">
        <f>SmtRes!Y73*Source!I37</f>
        <v>3.7813149999999993</v>
      </c>
      <c r="G143" s="27">
        <f>(SmtRes!AA73+SmtRes!AB73+SmtRes!AD73)</f>
        <v>141.83</v>
      </c>
      <c r="H143" s="28">
        <f>(SmtRes!AA73*SmtRes!Y73*Source!I37+SmtRes!AB73*SmtRes!Y73*Source!I37+SmtRes!AD73*SmtRes!Y73*Source!I37)</f>
        <v>536.30390645</v>
      </c>
      <c r="I143" s="28">
        <f>SmtRes!AD73*SmtRes!Y73*Source!I37</f>
        <v>536.30390645</v>
      </c>
      <c r="J143" s="24"/>
      <c r="K143" s="24"/>
      <c r="L143" s="24"/>
      <c r="M143" s="24"/>
      <c r="N143" s="25"/>
    </row>
    <row r="144" spans="1:14" ht="28.5">
      <c r="A144" s="29"/>
      <c r="B144" s="32" t="str">
        <f>SmtRes!I74</f>
        <v>2</v>
      </c>
      <c r="C144" s="32" t="s">
        <v>687</v>
      </c>
      <c r="D144" s="30" t="str">
        <f>SmtRes!O74</f>
        <v>чел.час</v>
      </c>
      <c r="E144" s="30">
        <f>SmtRes!Y74</f>
        <v>0.0125</v>
      </c>
      <c r="F144" s="30">
        <f>SmtRes!Y74*Source!I37</f>
        <v>0.006275</v>
      </c>
      <c r="G144" s="33">
        <f>(SmtRes!AA74+SmtRes!AB74+SmtRes!AD74)</f>
        <v>0</v>
      </c>
      <c r="H144" s="34">
        <f>(SmtRes!AA74*SmtRes!Y74*Source!I37+SmtRes!AB74*SmtRes!Y74*Source!I37+SmtRes!AD74*SmtRes!Y74*Source!I37)</f>
        <v>0</v>
      </c>
      <c r="I144" s="30"/>
      <c r="J144" s="30"/>
      <c r="K144" s="34">
        <f>SmtRes!AC74*SmtRes!Y74*Source!I37</f>
        <v>0</v>
      </c>
      <c r="L144" s="30"/>
      <c r="M144" s="30"/>
      <c r="N144" s="31"/>
    </row>
    <row r="145" spans="1:14" ht="58.5">
      <c r="A145" s="29"/>
      <c r="B145" s="32" t="str">
        <f>SmtRes!I75</f>
        <v>030954</v>
      </c>
      <c r="C145" s="32" t="s">
        <v>699</v>
      </c>
      <c r="D145" s="30" t="str">
        <f>SmtRes!O75</f>
        <v>маш.-ч</v>
      </c>
      <c r="E145" s="30">
        <f>SmtRes!Y75</f>
        <v>0.0125</v>
      </c>
      <c r="F145" s="30">
        <f>SmtRes!Y75*Source!I37</f>
        <v>0.006275</v>
      </c>
      <c r="G145" s="33">
        <f>(SmtRes!AA75+SmtRes!AB75+SmtRes!AD75)</f>
        <v>246.77</v>
      </c>
      <c r="H145" s="34">
        <f>(SmtRes!AA75*SmtRes!Y75*Source!I37+SmtRes!AB75*SmtRes!Y75*Source!I37+SmtRes!AD75*SmtRes!Y75*Source!I37)</f>
        <v>1.54848175</v>
      </c>
      <c r="I145" s="30"/>
      <c r="J145" s="34">
        <f>SmtRes!AB75*SmtRes!Y75*Source!I37</f>
        <v>1.54848175</v>
      </c>
      <c r="K145" s="34">
        <f>SmtRes!AC75*SmtRes!Y75*Source!I37</f>
        <v>0</v>
      </c>
      <c r="L145" s="30"/>
      <c r="M145" s="30"/>
      <c r="N145" s="31"/>
    </row>
    <row r="146" spans="1:14" ht="43.5">
      <c r="A146" s="29"/>
      <c r="B146" s="32" t="str">
        <f>SmtRes!I76</f>
        <v>400001</v>
      </c>
      <c r="C146" s="32" t="s">
        <v>692</v>
      </c>
      <c r="D146" s="30" t="str">
        <f>SmtRes!O76</f>
        <v>маш.-ч</v>
      </c>
      <c r="E146" s="30">
        <f>SmtRes!Y76</f>
        <v>0.0125</v>
      </c>
      <c r="F146" s="30">
        <f>SmtRes!Y76*Source!I37</f>
        <v>0.006275</v>
      </c>
      <c r="G146" s="33">
        <f>(SmtRes!AA76+SmtRes!AB76+SmtRes!AD76)</f>
        <v>691.3</v>
      </c>
      <c r="H146" s="34">
        <f>(SmtRes!AA76*SmtRes!Y76*Source!I37+SmtRes!AB76*SmtRes!Y76*Source!I37+SmtRes!AD76*SmtRes!Y76*Source!I37)</f>
        <v>4.3379075</v>
      </c>
      <c r="I146" s="30"/>
      <c r="J146" s="34">
        <f>SmtRes!AB76*SmtRes!Y76*Source!I37</f>
        <v>4.3379075</v>
      </c>
      <c r="K146" s="34">
        <f>SmtRes!AC76*SmtRes!Y76*Source!I37</f>
        <v>0</v>
      </c>
      <c r="L146" s="30"/>
      <c r="M146" s="30"/>
      <c r="N146" s="31"/>
    </row>
    <row r="147" spans="1:14" ht="15">
      <c r="A147" s="29"/>
      <c r="B147" s="32" t="str">
        <f>SmtRes!I77</f>
        <v>101-1757</v>
      </c>
      <c r="C147" s="32" t="str">
        <f>SmtRes!K77</f>
        <v>Ветошь</v>
      </c>
      <c r="D147" s="30" t="str">
        <f>SmtRes!O77</f>
        <v>кг</v>
      </c>
      <c r="E147" s="30">
        <f>SmtRes!Y77</f>
        <v>0.1</v>
      </c>
      <c r="F147" s="30">
        <f>SmtRes!Y77*Source!I37</f>
        <v>0.0502</v>
      </c>
      <c r="G147" s="33">
        <f>(SmtRes!AA77+SmtRes!AB77+SmtRes!AD77)</f>
        <v>52.32</v>
      </c>
      <c r="H147" s="34">
        <f>(SmtRes!AA77*SmtRes!Y77*Source!I37+SmtRes!AB77*SmtRes!Y77*Source!I37+SmtRes!AD77*SmtRes!Y77*Source!I37)</f>
        <v>2.626464</v>
      </c>
      <c r="I147" s="30"/>
      <c r="J147" s="30"/>
      <c r="K147" s="30"/>
      <c r="L147" s="34">
        <f>SmtRes!AA77*SmtRes!Y77*Source!I37</f>
        <v>2.626464</v>
      </c>
      <c r="M147" s="30"/>
      <c r="N147" s="31"/>
    </row>
    <row r="148" spans="1:14" ht="15">
      <c r="A148" s="35"/>
      <c r="B148" s="36" t="str">
        <f>SmtRes!I78</f>
        <v>101-9732</v>
      </c>
      <c r="C148" s="36" t="str">
        <f>SmtRes!K78</f>
        <v>Грунтовка бетон-контакт</v>
      </c>
      <c r="D148" s="37" t="str">
        <f>SmtRes!O78</f>
        <v>т</v>
      </c>
      <c r="E148" s="37">
        <f>SmtRes!Y78</f>
        <v>0.013</v>
      </c>
      <c r="F148" s="37">
        <f>SmtRes!Y78*Source!I37</f>
        <v>0.006526</v>
      </c>
      <c r="G148" s="38">
        <f>(SmtRes!AA78+SmtRes!AB78+SmtRes!AD78)</f>
        <v>49857.01</v>
      </c>
      <c r="H148" s="39">
        <f>(SmtRes!AA78*SmtRes!Y78*Source!I37+SmtRes!AB78*SmtRes!Y78*Source!I37+SmtRes!AD78*SmtRes!Y78*Source!I37)</f>
        <v>325.36684726</v>
      </c>
      <c r="I148" s="37"/>
      <c r="J148" s="37"/>
      <c r="K148" s="37"/>
      <c r="L148" s="39">
        <f>SmtRes!AA78*SmtRes!Y78*Source!I37</f>
        <v>325.36684726</v>
      </c>
      <c r="M148" s="37"/>
      <c r="N148" s="40"/>
    </row>
    <row r="149" spans="1:26" ht="96.75">
      <c r="A149" s="11" t="str">
        <f>IF(Source!E38&lt;&gt;"",Source!E38,"")</f>
        <v>15</v>
      </c>
      <c r="B149" s="11" t="str">
        <f>IF(Source!F38&lt;&gt;"",Source!F38,"")</f>
        <v>15-02-019-3</v>
      </c>
      <c r="C149" s="11" t="s">
        <v>723</v>
      </c>
      <c r="D149" s="12" t="str">
        <f>IF(Source!H38&lt;&gt;"",Source!H38,"")</f>
        <v>100 м2 оштукатуриваемой поверхности</v>
      </c>
      <c r="E149" s="12" t="str">
        <f>IF(Source!J38=0," ",Source!J38)</f>
        <v> </v>
      </c>
      <c r="F149" s="13">
        <f>Source!I38</f>
        <v>0.502</v>
      </c>
      <c r="G149" s="14">
        <f>IF(Source!AB38=0," ",Source!AB38)</f>
        <v>18945.96</v>
      </c>
      <c r="H149" s="15">
        <f>IF(Source!O38=0," ",Source!O38)</f>
        <v>9511</v>
      </c>
      <c r="I149" s="15">
        <f>IF(Source!S38=0," ",Source!S38)</f>
        <v>4055</v>
      </c>
      <c r="J149" s="15">
        <f>IF(Source!Q38=0," ",Source!Q38)</f>
        <v>188</v>
      </c>
      <c r="K149" s="15" t="str">
        <f>IF(Source!R38=0," ",Source!R38)</f>
        <v> </v>
      </c>
      <c r="L149" s="15">
        <f>IF(Source!P38=0," ",Source!P38)</f>
        <v>5268</v>
      </c>
      <c r="M149" s="16">
        <f>IF(Source!U38=0," ",ROUND(Source!U38,6))</f>
        <v>29.956097</v>
      </c>
      <c r="N149" s="16">
        <f>IF(Source!V38=0," ",ROUND(Source!V38,6))</f>
        <v>1.173425</v>
      </c>
      <c r="T149">
        <f>IF(Source!O38=0," ",Source!O38)</f>
        <v>9511</v>
      </c>
      <c r="U149">
        <v>5268</v>
      </c>
      <c r="V149">
        <f>IF(Source!S38=0," ",Source!S38)</f>
        <v>4055</v>
      </c>
      <c r="W149">
        <f>IF(Source!Q38=0," ",Source!Q38)</f>
        <v>188</v>
      </c>
      <c r="X149" t="str">
        <f>IF(Source!R38=0," ",Source!R38)</f>
        <v> </v>
      </c>
      <c r="Y149">
        <f>IF(Source!U38=0," ",ROUND(Source!U38,6))</f>
        <v>29.956097</v>
      </c>
      <c r="Z149">
        <f>IF(Source!V38=0," ",ROUND(Source!V38,6))</f>
        <v>1.173425</v>
      </c>
    </row>
    <row r="150" spans="1:14" ht="15">
      <c r="A150" s="46"/>
      <c r="B150" s="46"/>
      <c r="C150" s="17" t="s">
        <v>257</v>
      </c>
      <c r="D150" s="18" t="str">
        <f>CONCATENATE(Source!AT38," %")</f>
        <v>80,33 %</v>
      </c>
      <c r="E150" s="18"/>
      <c r="F150" s="18"/>
      <c r="G150" s="18"/>
      <c r="H150" s="19">
        <f>Source!X38</f>
        <v>3257</v>
      </c>
      <c r="I150" s="46"/>
      <c r="J150" s="46"/>
      <c r="K150" s="46"/>
      <c r="L150" s="46"/>
      <c r="M150" s="46"/>
      <c r="N150" s="46"/>
    </row>
    <row r="151" spans="1:14" ht="15">
      <c r="A151" s="46"/>
      <c r="B151" s="46"/>
      <c r="C151" s="17" t="s">
        <v>259</v>
      </c>
      <c r="D151" s="18" t="str">
        <f>CONCATENATE(Source!AU38," %")</f>
        <v>37,4 %</v>
      </c>
      <c r="E151" s="18"/>
      <c r="F151" s="18"/>
      <c r="G151" s="18"/>
      <c r="H151" s="19">
        <f>Source!Y38</f>
        <v>1517</v>
      </c>
      <c r="I151" s="46"/>
      <c r="J151" s="46"/>
      <c r="K151" s="46"/>
      <c r="L151" s="46"/>
      <c r="M151" s="46"/>
      <c r="N151" s="46"/>
    </row>
    <row r="152" spans="1:14" ht="14.25">
      <c r="A152" s="47"/>
      <c r="B152" s="47"/>
      <c r="C152" s="20" t="s">
        <v>680</v>
      </c>
      <c r="D152" s="21"/>
      <c r="E152" s="21"/>
      <c r="F152" s="21"/>
      <c r="G152" s="21"/>
      <c r="H152" s="22">
        <f>SUMIF(Source!AA38:Source!AA38,"=26994759",Source!GM38:Source!GM38)</f>
        <v>14285</v>
      </c>
      <c r="I152" s="47"/>
      <c r="J152" s="47"/>
      <c r="K152" s="47"/>
      <c r="L152" s="47"/>
      <c r="M152" s="47"/>
      <c r="N152" s="47"/>
    </row>
    <row r="153" spans="1:14" ht="43.5">
      <c r="A153" s="23"/>
      <c r="B153" s="26" t="str">
        <f>SmtRes!I79</f>
        <v>1-1036</v>
      </c>
      <c r="C153" s="26" t="s">
        <v>720</v>
      </c>
      <c r="D153" s="24" t="str">
        <f>SmtRes!O79</f>
        <v>чел.-ч</v>
      </c>
      <c r="E153" s="24">
        <f>SmtRes!Y79</f>
        <v>59.6735</v>
      </c>
      <c r="F153" s="24">
        <f>SmtRes!Y79*Source!I38</f>
        <v>29.956097</v>
      </c>
      <c r="G153" s="27">
        <f>(SmtRes!AA79+SmtRes!AB79+SmtRes!AD79)</f>
        <v>135.36</v>
      </c>
      <c r="H153" s="28">
        <f>(SmtRes!AA79*SmtRes!Y79*Source!I38+SmtRes!AB79*SmtRes!Y79*Source!I38+SmtRes!AD79*SmtRes!Y79*Source!I38)</f>
        <v>4054.8572899200003</v>
      </c>
      <c r="I153" s="28">
        <f>SmtRes!AD79*SmtRes!Y79*Source!I38</f>
        <v>4054.8572899200003</v>
      </c>
      <c r="J153" s="24"/>
      <c r="K153" s="24"/>
      <c r="L153" s="24"/>
      <c r="M153" s="24"/>
      <c r="N153" s="25"/>
    </row>
    <row r="154" spans="1:14" ht="28.5">
      <c r="A154" s="29"/>
      <c r="B154" s="32" t="str">
        <f>SmtRes!I80</f>
        <v>2</v>
      </c>
      <c r="C154" s="32" t="s">
        <v>687</v>
      </c>
      <c r="D154" s="30" t="str">
        <f>SmtRes!O80</f>
        <v>чел.час</v>
      </c>
      <c r="E154" s="30">
        <f>SmtRes!Y80</f>
        <v>2.3375000000000004</v>
      </c>
      <c r="F154" s="30">
        <f>SmtRes!Y80*Source!I38</f>
        <v>1.1734250000000002</v>
      </c>
      <c r="G154" s="33">
        <f>(SmtRes!AA80+SmtRes!AB80+SmtRes!AD80)</f>
        <v>0</v>
      </c>
      <c r="H154" s="34">
        <f>(SmtRes!AA80*SmtRes!Y80*Source!I38+SmtRes!AB80*SmtRes!Y80*Source!I38+SmtRes!AD80*SmtRes!Y80*Source!I38)</f>
        <v>0</v>
      </c>
      <c r="I154" s="30"/>
      <c r="J154" s="30"/>
      <c r="K154" s="34">
        <f>SmtRes!AC80*SmtRes!Y80*Source!I38</f>
        <v>0</v>
      </c>
      <c r="L154" s="30"/>
      <c r="M154" s="30"/>
      <c r="N154" s="31"/>
    </row>
    <row r="155" spans="1:14" ht="28.5">
      <c r="A155" s="29"/>
      <c r="B155" s="32" t="str">
        <f>SmtRes!I81</f>
        <v>030101</v>
      </c>
      <c r="C155" s="32" t="s">
        <v>721</v>
      </c>
      <c r="D155" s="30" t="str">
        <f>SmtRes!O81</f>
        <v>маш.-ч</v>
      </c>
      <c r="E155" s="30">
        <f>SmtRes!Y81</f>
        <v>0.05</v>
      </c>
      <c r="F155" s="30">
        <f>SmtRes!Y81*Source!I38</f>
        <v>0.0251</v>
      </c>
      <c r="G155" s="33">
        <f>(SmtRes!AA81+SmtRes!AB81+SmtRes!AD81)</f>
        <v>490.2</v>
      </c>
      <c r="H155" s="34">
        <f>(SmtRes!AA81*SmtRes!Y81*Source!I38+SmtRes!AB81*SmtRes!Y81*Source!I38+SmtRes!AD81*SmtRes!Y81*Source!I38)</f>
        <v>12.304020000000001</v>
      </c>
      <c r="I155" s="30"/>
      <c r="J155" s="34">
        <f>SmtRes!AB81*SmtRes!Y81*Source!I38</f>
        <v>12.304020000000001</v>
      </c>
      <c r="K155" s="34">
        <f>SmtRes!AC81*SmtRes!Y81*Source!I38</f>
        <v>0</v>
      </c>
      <c r="L155" s="30"/>
      <c r="M155" s="30"/>
      <c r="N155" s="31"/>
    </row>
    <row r="156" spans="1:14" ht="58.5">
      <c r="A156" s="29"/>
      <c r="B156" s="32" t="str">
        <f>SmtRes!I82</f>
        <v>030954</v>
      </c>
      <c r="C156" s="32" t="s">
        <v>699</v>
      </c>
      <c r="D156" s="30" t="str">
        <f>SmtRes!O82</f>
        <v>маш.-ч</v>
      </c>
      <c r="E156" s="30">
        <f>SmtRes!Y82</f>
        <v>0.2</v>
      </c>
      <c r="F156" s="30">
        <f>SmtRes!Y82*Source!I38</f>
        <v>0.1004</v>
      </c>
      <c r="G156" s="33">
        <f>(SmtRes!AA82+SmtRes!AB82+SmtRes!AD82)</f>
        <v>246.77</v>
      </c>
      <c r="H156" s="34">
        <f>(SmtRes!AA82*SmtRes!Y82*Source!I38+SmtRes!AB82*SmtRes!Y82*Source!I38+SmtRes!AD82*SmtRes!Y82*Source!I38)</f>
        <v>24.775708</v>
      </c>
      <c r="I156" s="30"/>
      <c r="J156" s="34">
        <f>SmtRes!AB82*SmtRes!Y82*Source!I38</f>
        <v>24.775708</v>
      </c>
      <c r="K156" s="34">
        <f>SmtRes!AC82*SmtRes!Y82*Source!I38</f>
        <v>0</v>
      </c>
      <c r="L156" s="30"/>
      <c r="M156" s="30"/>
      <c r="N156" s="31"/>
    </row>
    <row r="157" spans="1:14" ht="43.5">
      <c r="A157" s="29"/>
      <c r="B157" s="32" t="str">
        <f>SmtRes!I83</f>
        <v>110901</v>
      </c>
      <c r="C157" s="32" t="s">
        <v>722</v>
      </c>
      <c r="D157" s="30" t="str">
        <f>SmtRes!O83</f>
        <v>маш.-ч</v>
      </c>
      <c r="E157" s="30">
        <f>SmtRes!Y83</f>
        <v>2.0875</v>
      </c>
      <c r="F157" s="30">
        <f>SmtRes!Y83*Source!I38</f>
        <v>1.047925</v>
      </c>
      <c r="G157" s="33">
        <f>(SmtRes!AA83+SmtRes!AB83+SmtRes!AD83)</f>
        <v>143.88</v>
      </c>
      <c r="H157" s="34">
        <f>(SmtRes!AA83*SmtRes!Y83*Source!I38+SmtRes!AB83*SmtRes!Y83*Source!I38+SmtRes!AD83*SmtRes!Y83*Source!I38)</f>
        <v>150.77544899999998</v>
      </c>
      <c r="I157" s="30"/>
      <c r="J157" s="34">
        <f>SmtRes!AB83*SmtRes!Y83*Source!I38</f>
        <v>150.77544899999998</v>
      </c>
      <c r="K157" s="34">
        <f>SmtRes!AC83*SmtRes!Y83*Source!I38</f>
        <v>0</v>
      </c>
      <c r="L157" s="30"/>
      <c r="M157" s="30"/>
      <c r="N157" s="31"/>
    </row>
    <row r="158" spans="1:14" ht="15">
      <c r="A158" s="29"/>
      <c r="B158" s="32" t="str">
        <f>SmtRes!I84</f>
        <v>101-9732</v>
      </c>
      <c r="C158" s="32" t="str">
        <f>SmtRes!K84</f>
        <v>Грунтовка</v>
      </c>
      <c r="D158" s="30" t="str">
        <f>SmtRes!O84</f>
        <v>т</v>
      </c>
      <c r="E158" s="30">
        <f>SmtRes!Y84</f>
        <v>0.01</v>
      </c>
      <c r="F158" s="30">
        <f>SmtRes!Y84*Source!I38</f>
        <v>0.00502</v>
      </c>
      <c r="G158" s="33">
        <f>(SmtRes!AA84+SmtRes!AB84+SmtRes!AD84)</f>
        <v>35593.22</v>
      </c>
      <c r="H158" s="34">
        <f>(SmtRes!AA84*SmtRes!Y84*Source!I38+SmtRes!AB84*SmtRes!Y84*Source!I38+SmtRes!AD84*SmtRes!Y84*Source!I38)</f>
        <v>178.6779644</v>
      </c>
      <c r="I158" s="30"/>
      <c r="J158" s="30"/>
      <c r="K158" s="30"/>
      <c r="L158" s="34">
        <f>SmtRes!AA84*SmtRes!Y84*Source!I38</f>
        <v>178.6779644</v>
      </c>
      <c r="M158" s="30"/>
      <c r="N158" s="31"/>
    </row>
    <row r="159" spans="1:14" ht="30">
      <c r="A159" s="35"/>
      <c r="B159" s="36" t="str">
        <f>SmtRes!I85</f>
        <v>402-0070</v>
      </c>
      <c r="C159" s="36" t="str">
        <f>SmtRes!K85</f>
        <v>Смесь штукатурная на гипсовой основе</v>
      </c>
      <c r="D159" s="37" t="str">
        <f>SmtRes!O85</f>
        <v>т</v>
      </c>
      <c r="E159" s="37">
        <f>SmtRes!Y85</f>
        <v>0.97</v>
      </c>
      <c r="F159" s="37">
        <f>SmtRes!Y85*Source!I38</f>
        <v>0.48694</v>
      </c>
      <c r="G159" s="38">
        <f>(SmtRes!AA85+SmtRes!AB85+SmtRes!AD85)</f>
        <v>10451.98</v>
      </c>
      <c r="H159" s="39">
        <f>(SmtRes!AA85*SmtRes!Y85*Source!I38+SmtRes!AB85*SmtRes!Y85*Source!I38+SmtRes!AD85*SmtRes!Y85*Source!I38)</f>
        <v>5089.487141199999</v>
      </c>
      <c r="I159" s="37"/>
      <c r="J159" s="37"/>
      <c r="K159" s="37"/>
      <c r="L159" s="39">
        <f>SmtRes!AA85*SmtRes!Y85*Source!I38</f>
        <v>5089.487141199999</v>
      </c>
      <c r="M159" s="37"/>
      <c r="N159" s="40"/>
    </row>
    <row r="160" spans="1:26" ht="71.25">
      <c r="A160" s="11" t="str">
        <f>IF(Source!E39&lt;&gt;"",Source!E39,"")</f>
        <v>16</v>
      </c>
      <c r="B160" s="11" t="str">
        <f>IF(Source!F39&lt;&gt;"",Source!F39,"")</f>
        <v>61-7-1</v>
      </c>
      <c r="C160" s="11" t="s">
        <v>725</v>
      </c>
      <c r="D160" s="12" t="str">
        <f>IF(Source!H39&lt;&gt;"",Source!H39,"")</f>
        <v>100 м2 отремонтированной поверхности</v>
      </c>
      <c r="E160" s="12" t="str">
        <f>IF(Source!J39=0," ",Source!J39)</f>
        <v> </v>
      </c>
      <c r="F160" s="13">
        <f>Source!I39</f>
        <v>0.047</v>
      </c>
      <c r="G160" s="14">
        <f>IF(Source!AB39=0," ",Source!AB39)</f>
        <v>50961.26</v>
      </c>
      <c r="H160" s="15">
        <f>IF(Source!O39=0," ",Source!O39)</f>
        <v>2395</v>
      </c>
      <c r="I160" s="15">
        <f>IF(Source!S39=0," ",Source!S39)</f>
        <v>2382</v>
      </c>
      <c r="J160" s="15">
        <f>IF(Source!Q39=0," ",Source!Q39)</f>
        <v>13</v>
      </c>
      <c r="K160" s="15" t="str">
        <f>IF(Source!R39=0," ",Source!R39)</f>
        <v> </v>
      </c>
      <c r="L160" s="15" t="str">
        <f>IF(Source!P39=0," ",Source!P39)</f>
        <v> </v>
      </c>
      <c r="M160" s="16">
        <f>IF(Source!U39=0," ",ROUND(Source!U39,6))</f>
        <v>18.00382</v>
      </c>
      <c r="N160" s="16">
        <f>IF(Source!V39=0," ",ROUND(Source!V39,6))</f>
        <v>0.05452</v>
      </c>
      <c r="T160">
        <f>IF(Source!O39=0," ",Source!O39)</f>
        <v>2395</v>
      </c>
      <c r="U160" t="s">
        <v>724</v>
      </c>
      <c r="V160">
        <f>IF(Source!S39=0," ",Source!S39)</f>
        <v>2382</v>
      </c>
      <c r="W160">
        <f>IF(Source!Q39=0," ",Source!Q39)</f>
        <v>13</v>
      </c>
      <c r="X160" t="str">
        <f>IF(Source!R39=0," ",Source!R39)</f>
        <v> </v>
      </c>
      <c r="Y160">
        <f>IF(Source!U39=0," ",ROUND(Source!U39,6))</f>
        <v>18.00382</v>
      </c>
      <c r="Z160">
        <f>IF(Source!V39=0," ",ROUND(Source!V39,6))</f>
        <v>0.05452</v>
      </c>
    </row>
    <row r="161" spans="1:14" ht="15">
      <c r="A161" s="46"/>
      <c r="B161" s="46"/>
      <c r="C161" s="17" t="s">
        <v>257</v>
      </c>
      <c r="D161" s="18" t="str">
        <f>CONCATENATE(Source!AT39," %")</f>
        <v>67,15 %</v>
      </c>
      <c r="E161" s="18"/>
      <c r="F161" s="18"/>
      <c r="G161" s="18"/>
      <c r="H161" s="19">
        <f>Source!X39</f>
        <v>1600</v>
      </c>
      <c r="I161" s="46"/>
      <c r="J161" s="46"/>
      <c r="K161" s="46"/>
      <c r="L161" s="46"/>
      <c r="M161" s="46"/>
      <c r="N161" s="46"/>
    </row>
    <row r="162" spans="1:14" ht="15">
      <c r="A162" s="46"/>
      <c r="B162" s="46"/>
      <c r="C162" s="17" t="s">
        <v>259</v>
      </c>
      <c r="D162" s="18" t="str">
        <f>CONCATENATE(Source!AU39," %")</f>
        <v>40 %</v>
      </c>
      <c r="E162" s="18"/>
      <c r="F162" s="18"/>
      <c r="G162" s="18"/>
      <c r="H162" s="19">
        <f>Source!Y39</f>
        <v>953</v>
      </c>
      <c r="I162" s="46"/>
      <c r="J162" s="46"/>
      <c r="K162" s="46"/>
      <c r="L162" s="46"/>
      <c r="M162" s="46"/>
      <c r="N162" s="46"/>
    </row>
    <row r="163" spans="1:14" ht="14.25">
      <c r="A163" s="47"/>
      <c r="B163" s="47"/>
      <c r="C163" s="20" t="s">
        <v>680</v>
      </c>
      <c r="D163" s="21"/>
      <c r="E163" s="21"/>
      <c r="F163" s="21"/>
      <c r="G163" s="21"/>
      <c r="H163" s="22">
        <f>SUMIF(Source!AA39:Source!AA39,"=26994759",Source!GM39:Source!GM39)</f>
        <v>4948</v>
      </c>
      <c r="I163" s="47"/>
      <c r="J163" s="47"/>
      <c r="K163" s="47"/>
      <c r="L163" s="47"/>
      <c r="M163" s="47"/>
      <c r="N163" s="47"/>
    </row>
    <row r="164" spans="1:14" ht="30">
      <c r="A164" s="23"/>
      <c r="B164" s="26" t="str">
        <f>SmtRes!I86</f>
        <v>1-1034</v>
      </c>
      <c r="C164" s="26" t="str">
        <f>SmtRes!K86</f>
        <v>Рабочий строитель среднего разряда 3,4</v>
      </c>
      <c r="D164" s="24" t="str">
        <f>SmtRes!O86</f>
        <v>чел.-ч</v>
      </c>
      <c r="E164" s="24">
        <f>SmtRes!Y86</f>
        <v>383.06</v>
      </c>
      <c r="F164" s="24">
        <f>SmtRes!Y86*Source!I39</f>
        <v>18.00382</v>
      </c>
      <c r="G164" s="27">
        <f>(SmtRes!AA86+SmtRes!AB86+SmtRes!AD86)</f>
        <v>132.29</v>
      </c>
      <c r="H164" s="28">
        <f>(SmtRes!AA86*SmtRes!Y86*Source!I39+SmtRes!AB86*SmtRes!Y86*Source!I39+SmtRes!AD86*SmtRes!Y86*Source!I39)</f>
        <v>2381.7253478</v>
      </c>
      <c r="I164" s="28">
        <f>SmtRes!AD86*SmtRes!Y86*Source!I39</f>
        <v>2381.7253478</v>
      </c>
      <c r="J164" s="24"/>
      <c r="K164" s="24"/>
      <c r="L164" s="24"/>
      <c r="M164" s="24"/>
      <c r="N164" s="25"/>
    </row>
    <row r="165" spans="1:14" ht="15">
      <c r="A165" s="29"/>
      <c r="B165" s="32" t="str">
        <f>SmtRes!I87</f>
        <v>2</v>
      </c>
      <c r="C165" s="32" t="str">
        <f>SmtRes!K87</f>
        <v>Затраты труда машинистов</v>
      </c>
      <c r="D165" s="30" t="str">
        <f>SmtRes!O87</f>
        <v>чел.час</v>
      </c>
      <c r="E165" s="30">
        <f>SmtRes!Y87</f>
        <v>1.16</v>
      </c>
      <c r="F165" s="30">
        <f>SmtRes!Y87*Source!I39</f>
        <v>0.05452</v>
      </c>
      <c r="G165" s="33">
        <f>(SmtRes!AA87+SmtRes!AB87+SmtRes!AD87)</f>
        <v>0</v>
      </c>
      <c r="H165" s="34">
        <f>(SmtRes!AA87*SmtRes!Y87*Source!I39+SmtRes!AB87*SmtRes!Y87*Source!I39+SmtRes!AD87*SmtRes!Y87*Source!I39)</f>
        <v>0</v>
      </c>
      <c r="I165" s="30"/>
      <c r="J165" s="30"/>
      <c r="K165" s="34">
        <f>SmtRes!AC87*SmtRes!Y87*Source!I39</f>
        <v>0</v>
      </c>
      <c r="L165" s="30"/>
      <c r="M165" s="30"/>
      <c r="N165" s="31"/>
    </row>
    <row r="166" spans="1:14" ht="45">
      <c r="A166" s="29"/>
      <c r="B166" s="32" t="str">
        <f>SmtRes!I88</f>
        <v>030954</v>
      </c>
      <c r="C166" s="32" t="str">
        <f>SmtRes!K88</f>
        <v>Подъемники грузоподъемностью до 500 кг одномачтовые, высота подъема 45 м</v>
      </c>
      <c r="D166" s="30" t="str">
        <f>SmtRes!O88</f>
        <v>маш.-ч</v>
      </c>
      <c r="E166" s="30">
        <f>SmtRes!Y88</f>
        <v>1.16</v>
      </c>
      <c r="F166" s="30">
        <f>SmtRes!Y88*Source!I39</f>
        <v>0.05452</v>
      </c>
      <c r="G166" s="33">
        <f>(SmtRes!AA88+SmtRes!AB88+SmtRes!AD88)</f>
        <v>246.77</v>
      </c>
      <c r="H166" s="34">
        <f>(SmtRes!AA88*SmtRes!Y88*Source!I39+SmtRes!AB88*SmtRes!Y88*Source!I39+SmtRes!AD88*SmtRes!Y88*Source!I39)</f>
        <v>13.4539004</v>
      </c>
      <c r="I166" s="30"/>
      <c r="J166" s="34">
        <f>SmtRes!AB88*SmtRes!Y88*Source!I39</f>
        <v>13.4539004</v>
      </c>
      <c r="K166" s="34">
        <f>SmtRes!AC88*SmtRes!Y88*Source!I39</f>
        <v>0</v>
      </c>
      <c r="L166" s="30"/>
      <c r="M166" s="30"/>
      <c r="N166" s="31"/>
    </row>
    <row r="167" spans="1:14" ht="45">
      <c r="A167" s="29"/>
      <c r="B167" s="32" t="str">
        <f>SmtRes!I89</f>
        <v>402-0083</v>
      </c>
      <c r="C167" s="32" t="str">
        <f>SmtRes!K89</f>
        <v>Раствор готовый отделочный тяжелый, цементно-известковый 1:1:6</v>
      </c>
      <c r="D167" s="30" t="str">
        <f>SmtRes!O89</f>
        <v>м3</v>
      </c>
      <c r="E167" s="30">
        <f>SmtRes!Y89</f>
        <v>4.4</v>
      </c>
      <c r="F167" s="30">
        <f>SmtRes!Y89*Source!I39</f>
        <v>0.2068</v>
      </c>
      <c r="G167" s="33">
        <f>(SmtRes!AA89+SmtRes!AB89+SmtRes!AD89)</f>
        <v>0</v>
      </c>
      <c r="H167" s="34">
        <f>(SmtRes!AA89*SmtRes!Y89*Source!I39+SmtRes!AB89*SmtRes!Y89*Source!I39+SmtRes!AD89*SmtRes!Y89*Source!I39)</f>
        <v>0</v>
      </c>
      <c r="I167" s="30"/>
      <c r="J167" s="30"/>
      <c r="K167" s="30"/>
      <c r="L167" s="34">
        <f>SmtRes!AA89*SmtRes!Y89*Source!I39</f>
        <v>0</v>
      </c>
      <c r="M167" s="30"/>
      <c r="N167" s="31"/>
    </row>
    <row r="168" spans="1:14" ht="15">
      <c r="A168" s="35"/>
      <c r="B168" s="36" t="str">
        <f>SmtRes!I90</f>
        <v>509-9900</v>
      </c>
      <c r="C168" s="36" t="str">
        <f>SmtRes!K90</f>
        <v>Строительный мусор</v>
      </c>
      <c r="D168" s="37" t="str">
        <f>SmtRes!O90</f>
        <v>т</v>
      </c>
      <c r="E168" s="37">
        <f>SmtRes!Y90</f>
        <v>8.1</v>
      </c>
      <c r="F168" s="37">
        <f>SmtRes!Y90*Source!I39</f>
        <v>0.3807</v>
      </c>
      <c r="G168" s="38">
        <f>(SmtRes!AA90+SmtRes!AB90+SmtRes!AD90)</f>
        <v>0</v>
      </c>
      <c r="H168" s="39">
        <f>(SmtRes!AA90*SmtRes!Y90*Source!I39+SmtRes!AB90*SmtRes!Y90*Source!I39+SmtRes!AD90*SmtRes!Y90*Source!I39)</f>
        <v>0</v>
      </c>
      <c r="I168" s="37"/>
      <c r="J168" s="37"/>
      <c r="K168" s="37"/>
      <c r="L168" s="39">
        <f>SmtRes!AA90*SmtRes!Y90*Source!I39</f>
        <v>0</v>
      </c>
      <c r="M168" s="37"/>
      <c r="N168" s="40"/>
    </row>
    <row r="169" spans="1:26" ht="42.75">
      <c r="A169" s="11" t="str">
        <f>IF(Source!E40&lt;&gt;"",Source!E40,"")</f>
        <v>17</v>
      </c>
      <c r="B169" s="11" t="str">
        <f>IF(Source!F40&lt;&gt;"",Source!F40,"")</f>
        <v>06-01-083-7</v>
      </c>
      <c r="C169" s="11" t="s">
        <v>718</v>
      </c>
      <c r="D169" s="12" t="str">
        <f>IF(Source!H40&lt;&gt;"",Source!H40,"")</f>
        <v>100 М3 РАСТВОРА</v>
      </c>
      <c r="E169" s="12" t="str">
        <f>IF(Source!J40=0," ",Source!J40)</f>
        <v> </v>
      </c>
      <c r="F169" s="13">
        <f>Source!I40</f>
        <v>0.0021</v>
      </c>
      <c r="G169" s="14">
        <f>IF(Source!AB40=0," ",Source!AB40)</f>
        <v>511415.99</v>
      </c>
      <c r="H169" s="15">
        <f>IF(Source!O40=0," ",Source!O40)</f>
        <v>1074</v>
      </c>
      <c r="I169" s="15">
        <f>IF(Source!S40=0," ",Source!S40)</f>
        <v>66</v>
      </c>
      <c r="J169" s="15">
        <f>IF(Source!Q40=0," ",Source!Q40)</f>
        <v>27</v>
      </c>
      <c r="K169" s="15" t="str">
        <f>IF(Source!R40=0," ",Source!R40)</f>
        <v> </v>
      </c>
      <c r="L169" s="15">
        <f>IF(Source!P40=0," ",Source!P40)</f>
        <v>981</v>
      </c>
      <c r="M169" s="16">
        <f>IF(Source!U40=0," ",ROUND(Source!U40,6))</f>
        <v>0.57456</v>
      </c>
      <c r="N169" s="16">
        <f>IF(Source!V40=0," ",ROUND(Source!V40,6))</f>
        <v>0.106638</v>
      </c>
      <c r="T169">
        <f>IF(Source!O40=0," ",Source!O40)</f>
        <v>1074</v>
      </c>
      <c r="U169">
        <v>981</v>
      </c>
      <c r="V169">
        <f>IF(Source!S40=0," ",Source!S40)</f>
        <v>66</v>
      </c>
      <c r="W169">
        <f>IF(Source!Q40=0," ",Source!Q40)</f>
        <v>27</v>
      </c>
      <c r="X169" t="str">
        <f>IF(Source!R40=0," ",Source!R40)</f>
        <v> </v>
      </c>
      <c r="Y169">
        <f>IF(Source!U40=0," ",ROUND(Source!U40,6))</f>
        <v>0.57456</v>
      </c>
      <c r="Z169">
        <f>IF(Source!V40=0," ",ROUND(Source!V40,6))</f>
        <v>0.106638</v>
      </c>
    </row>
    <row r="170" spans="1:14" ht="15">
      <c r="A170" s="46"/>
      <c r="B170" s="46"/>
      <c r="C170" s="17" t="s">
        <v>257</v>
      </c>
      <c r="D170" s="18" t="str">
        <f>CONCATENATE(Source!AT40," %")</f>
        <v>56,1 %</v>
      </c>
      <c r="E170" s="18"/>
      <c r="F170" s="18"/>
      <c r="G170" s="18"/>
      <c r="H170" s="19">
        <f>Source!X40</f>
        <v>37</v>
      </c>
      <c r="I170" s="46"/>
      <c r="J170" s="46"/>
      <c r="K170" s="46"/>
      <c r="L170" s="46"/>
      <c r="M170" s="46"/>
      <c r="N170" s="46"/>
    </row>
    <row r="171" spans="1:14" ht="15">
      <c r="A171" s="46"/>
      <c r="B171" s="46"/>
      <c r="C171" s="17" t="s">
        <v>259</v>
      </c>
      <c r="D171" s="18" t="str">
        <f>CONCATENATE(Source!AU40," %")</f>
        <v>32 %</v>
      </c>
      <c r="E171" s="18"/>
      <c r="F171" s="18"/>
      <c r="G171" s="18"/>
      <c r="H171" s="19">
        <f>Source!Y40</f>
        <v>21</v>
      </c>
      <c r="I171" s="46"/>
      <c r="J171" s="46"/>
      <c r="K171" s="46"/>
      <c r="L171" s="46"/>
      <c r="M171" s="46"/>
      <c r="N171" s="46"/>
    </row>
    <row r="172" spans="1:14" ht="14.25">
      <c r="A172" s="47"/>
      <c r="B172" s="47"/>
      <c r="C172" s="20" t="s">
        <v>680</v>
      </c>
      <c r="D172" s="21"/>
      <c r="E172" s="21"/>
      <c r="F172" s="21"/>
      <c r="G172" s="21"/>
      <c r="H172" s="22">
        <f>SUMIF(Source!AA40:Source!AA40,"=26994759",Source!GM40:Source!GM40)</f>
        <v>1132</v>
      </c>
      <c r="I172" s="47"/>
      <c r="J172" s="47"/>
      <c r="K172" s="47"/>
      <c r="L172" s="47"/>
      <c r="M172" s="47"/>
      <c r="N172" s="47"/>
    </row>
    <row r="173" spans="1:14" ht="30">
      <c r="A173" s="23"/>
      <c r="B173" s="26" t="str">
        <f>SmtRes!I91</f>
        <v>1-1020</v>
      </c>
      <c r="C173" s="26" t="str">
        <f>SmtRes!K91</f>
        <v>Рабочий строитель среднего разряда 2</v>
      </c>
      <c r="D173" s="24" t="str">
        <f>SmtRes!O91</f>
        <v>чел.-ч</v>
      </c>
      <c r="E173" s="24">
        <f>SmtRes!Y91</f>
        <v>273.6</v>
      </c>
      <c r="F173" s="24">
        <f>SmtRes!Y91*Source!I40</f>
        <v>0.57456</v>
      </c>
      <c r="G173" s="27">
        <f>(SmtRes!AA91+SmtRes!AB91+SmtRes!AD91)</f>
        <v>115.12</v>
      </c>
      <c r="H173" s="28">
        <f>(SmtRes!AA91*SmtRes!Y91*Source!I40+SmtRes!AB91*SmtRes!Y91*Source!I40+SmtRes!AD91*SmtRes!Y91*Source!I40)</f>
        <v>66.1433472</v>
      </c>
      <c r="I173" s="28">
        <f>SmtRes!AD91*SmtRes!Y91*Source!I40</f>
        <v>66.1433472</v>
      </c>
      <c r="J173" s="24"/>
      <c r="K173" s="24"/>
      <c r="L173" s="24"/>
      <c r="M173" s="24"/>
      <c r="N173" s="25"/>
    </row>
    <row r="174" spans="1:14" ht="15">
      <c r="A174" s="29"/>
      <c r="B174" s="32" t="str">
        <f>SmtRes!I92</f>
        <v>2</v>
      </c>
      <c r="C174" s="32" t="str">
        <f>SmtRes!K92</f>
        <v>Затраты труда машинистов</v>
      </c>
      <c r="D174" s="30" t="str">
        <f>SmtRes!O92</f>
        <v>чел.час</v>
      </c>
      <c r="E174" s="30">
        <f>SmtRes!Y92</f>
        <v>50.78</v>
      </c>
      <c r="F174" s="30">
        <f>SmtRes!Y92*Source!I40</f>
        <v>0.106638</v>
      </c>
      <c r="G174" s="33">
        <f>(SmtRes!AA92+SmtRes!AB92+SmtRes!AD92)</f>
        <v>0</v>
      </c>
      <c r="H174" s="34">
        <f>(SmtRes!AA92*SmtRes!Y92*Source!I40+SmtRes!AB92*SmtRes!Y92*Source!I40+SmtRes!AD92*SmtRes!Y92*Source!I40)</f>
        <v>0</v>
      </c>
      <c r="I174" s="30"/>
      <c r="J174" s="30"/>
      <c r="K174" s="34">
        <f>SmtRes!AC92*SmtRes!Y92*Source!I40</f>
        <v>0</v>
      </c>
      <c r="L174" s="30"/>
      <c r="M174" s="30"/>
      <c r="N174" s="31"/>
    </row>
    <row r="175" spans="1:14" ht="15">
      <c r="A175" s="29"/>
      <c r="B175" s="32" t="str">
        <f>SmtRes!I93</f>
        <v>030101</v>
      </c>
      <c r="C175" s="32" t="str">
        <f>SmtRes!K93</f>
        <v>Автопогрузчики 5 т</v>
      </c>
      <c r="D175" s="30" t="str">
        <f>SmtRes!O93</f>
        <v>маш.-ч</v>
      </c>
      <c r="E175" s="30">
        <f>SmtRes!Y93</f>
        <v>14.82</v>
      </c>
      <c r="F175" s="30">
        <f>SmtRes!Y93*Source!I40</f>
        <v>0.031122</v>
      </c>
      <c r="G175" s="33">
        <f>(SmtRes!AA93+SmtRes!AB93+SmtRes!AD93)</f>
        <v>490.2</v>
      </c>
      <c r="H175" s="34">
        <f>(SmtRes!AA93*SmtRes!Y93*Source!I40+SmtRes!AB93*SmtRes!Y93*Source!I40+SmtRes!AD93*SmtRes!Y93*Source!I40)</f>
        <v>15.2560044</v>
      </c>
      <c r="I175" s="30"/>
      <c r="J175" s="34">
        <f>SmtRes!AB93*SmtRes!Y93*Source!I40</f>
        <v>15.2560044</v>
      </c>
      <c r="K175" s="34">
        <f>SmtRes!AC93*SmtRes!Y93*Source!I40</f>
        <v>0</v>
      </c>
      <c r="L175" s="30"/>
      <c r="M175" s="30"/>
      <c r="N175" s="31"/>
    </row>
    <row r="176" spans="1:14" ht="30">
      <c r="A176" s="29"/>
      <c r="B176" s="32" t="str">
        <f>SmtRes!I94</f>
        <v>110902</v>
      </c>
      <c r="C176" s="32" t="str">
        <f>SmtRes!K94</f>
        <v>Растворосмесители передвижные 250 л</v>
      </c>
      <c r="D176" s="30" t="str">
        <f>SmtRes!O94</f>
        <v>маш.-ч</v>
      </c>
      <c r="E176" s="30">
        <f>SmtRes!Y94</f>
        <v>35.96</v>
      </c>
      <c r="F176" s="30">
        <f>SmtRes!Y94*Source!I40</f>
        <v>0.075516</v>
      </c>
      <c r="G176" s="33">
        <f>(SmtRes!AA94+SmtRes!AB94+SmtRes!AD94)</f>
        <v>157.72</v>
      </c>
      <c r="H176" s="34">
        <f>(SmtRes!AA94*SmtRes!Y94*Source!I40+SmtRes!AB94*SmtRes!Y94*Source!I40+SmtRes!AD94*SmtRes!Y94*Source!I40)</f>
        <v>11.91038352</v>
      </c>
      <c r="I176" s="30"/>
      <c r="J176" s="34">
        <f>SmtRes!AB94*SmtRes!Y94*Source!I40</f>
        <v>11.91038352</v>
      </c>
      <c r="K176" s="34">
        <f>SmtRes!AC94*SmtRes!Y94*Source!I40</f>
        <v>0</v>
      </c>
      <c r="L176" s="30"/>
      <c r="M176" s="30"/>
      <c r="N176" s="31"/>
    </row>
    <row r="177" spans="1:14" ht="15">
      <c r="A177" s="35"/>
      <c r="B177" s="36">
        <f>SmtRes!I95</f>
      </c>
      <c r="C177" s="36" t="str">
        <f>SmtRes!K95</f>
        <v>Штукатурка цементно-песчаная</v>
      </c>
      <c r="D177" s="37" t="str">
        <f>SmtRes!O95</f>
        <v>т</v>
      </c>
      <c r="E177" s="37">
        <f>SmtRes!Y95</f>
        <v>65.6</v>
      </c>
      <c r="F177" s="37">
        <f>SmtRes!Y95*Source!I40</f>
        <v>0.13775999999999997</v>
      </c>
      <c r="G177" s="38">
        <f>(SmtRes!AA95+SmtRes!AB95+SmtRes!AD95)</f>
        <v>7118.64</v>
      </c>
      <c r="H177" s="39">
        <f>(SmtRes!AA95*SmtRes!Y95*Source!I40+SmtRes!AB95*SmtRes!Y95*Source!I40+SmtRes!AD95*SmtRes!Y95*Source!I40)</f>
        <v>980.6638463999999</v>
      </c>
      <c r="I177" s="37"/>
      <c r="J177" s="37"/>
      <c r="K177" s="37"/>
      <c r="L177" s="39">
        <f>SmtRes!AA95*SmtRes!Y95*Source!I40</f>
        <v>980.6638463999999</v>
      </c>
      <c r="M177" s="37"/>
      <c r="N177" s="40"/>
    </row>
    <row r="178" spans="1:26" ht="71.25">
      <c r="A178" s="11" t="str">
        <f>IF(Source!E41&lt;&gt;"",Source!E41,"")</f>
        <v>18</v>
      </c>
      <c r="B178" s="11" t="str">
        <f>IF(Source!F41&lt;&gt;"",Source!F41,"")</f>
        <v>62-27-1</v>
      </c>
      <c r="C178" s="11" t="s">
        <v>726</v>
      </c>
      <c r="D178" s="12" t="str">
        <f>IF(Source!H41&lt;&gt;"",Source!H41,"")</f>
        <v>100 м2 ошпаклеванной поверхности</v>
      </c>
      <c r="E178" s="12" t="str">
        <f>IF(Source!J41=0," ",Source!J41)</f>
        <v> </v>
      </c>
      <c r="F178" s="13">
        <f>Source!I41</f>
        <v>0.047</v>
      </c>
      <c r="G178" s="14">
        <f>IF(Source!AB41=0," ",Source!AB41)</f>
        <v>7273.17</v>
      </c>
      <c r="H178" s="15">
        <f>IF(Source!O41=0," ",Source!O41)</f>
        <v>342</v>
      </c>
      <c r="I178" s="15">
        <f>IF(Source!S41=0," ",Source!S41)</f>
        <v>284</v>
      </c>
      <c r="J178" s="15" t="str">
        <f>IF(Source!Q41=0," ",Source!Q41)</f>
        <v> </v>
      </c>
      <c r="K178" s="15" t="str">
        <f>IF(Source!R41=0," ",Source!R41)</f>
        <v> </v>
      </c>
      <c r="L178" s="15">
        <f>IF(Source!P41=0," ",Source!P41)</f>
        <v>58</v>
      </c>
      <c r="M178" s="16">
        <f>IF(Source!U41=0," ",ROUND(Source!U41,6))</f>
        <v>2.2607</v>
      </c>
      <c r="N178" s="16" t="str">
        <f>IF(Source!V41=0," ",ROUND(Source!V41,6))</f>
        <v> </v>
      </c>
      <c r="T178">
        <f>IF(Source!O41=0," ",Source!O41)</f>
        <v>342</v>
      </c>
      <c r="U178">
        <v>58</v>
      </c>
      <c r="V178">
        <f>IF(Source!S41=0," ",Source!S41)</f>
        <v>284</v>
      </c>
      <c r="W178" t="str">
        <f>IF(Source!Q41=0," ",Source!Q41)</f>
        <v> </v>
      </c>
      <c r="X178" t="str">
        <f>IF(Source!R41=0," ",Source!R41)</f>
        <v> </v>
      </c>
      <c r="Y178">
        <f>IF(Source!U41=0," ",ROUND(Source!U41,6))</f>
        <v>2.2607</v>
      </c>
      <c r="Z178" t="str">
        <f>IF(Source!V41=0," ",ROUND(Source!V41,6))</f>
        <v> </v>
      </c>
    </row>
    <row r="179" spans="1:14" ht="15">
      <c r="A179" s="46"/>
      <c r="B179" s="46"/>
      <c r="C179" s="17" t="s">
        <v>257</v>
      </c>
      <c r="D179" s="18" t="str">
        <f>CONCATENATE(Source!AT41," %")</f>
        <v>68 %</v>
      </c>
      <c r="E179" s="18"/>
      <c r="F179" s="18"/>
      <c r="G179" s="18"/>
      <c r="H179" s="19">
        <f>Source!X41</f>
        <v>193</v>
      </c>
      <c r="I179" s="46"/>
      <c r="J179" s="46"/>
      <c r="K179" s="46"/>
      <c r="L179" s="46"/>
      <c r="M179" s="46"/>
      <c r="N179" s="46"/>
    </row>
    <row r="180" spans="1:14" ht="15">
      <c r="A180" s="46"/>
      <c r="B180" s="46"/>
      <c r="C180" s="17" t="s">
        <v>259</v>
      </c>
      <c r="D180" s="18" t="str">
        <f>CONCATENATE(Source!AU41," %")</f>
        <v>40 %</v>
      </c>
      <c r="E180" s="18"/>
      <c r="F180" s="18"/>
      <c r="G180" s="18"/>
      <c r="H180" s="19">
        <f>Source!Y41</f>
        <v>114</v>
      </c>
      <c r="I180" s="46"/>
      <c r="J180" s="46"/>
      <c r="K180" s="46"/>
      <c r="L180" s="46"/>
      <c r="M180" s="46"/>
      <c r="N180" s="46"/>
    </row>
    <row r="181" spans="1:14" ht="14.25">
      <c r="A181" s="47"/>
      <c r="B181" s="47"/>
      <c r="C181" s="20" t="s">
        <v>680</v>
      </c>
      <c r="D181" s="21"/>
      <c r="E181" s="21"/>
      <c r="F181" s="21"/>
      <c r="G181" s="21"/>
      <c r="H181" s="22">
        <f>SUMIF(Source!AA41:Source!AA41,"=26994759",Source!GM41:Source!GM41)</f>
        <v>649</v>
      </c>
      <c r="I181" s="47"/>
      <c r="J181" s="47"/>
      <c r="K181" s="47"/>
      <c r="L181" s="47"/>
      <c r="M181" s="47"/>
      <c r="N181" s="47"/>
    </row>
    <row r="182" spans="1:14" ht="43.5">
      <c r="A182" s="23"/>
      <c r="B182" s="26" t="str">
        <f>SmtRes!I96</f>
        <v>1-1030</v>
      </c>
      <c r="C182" s="26" t="s">
        <v>701</v>
      </c>
      <c r="D182" s="24" t="str">
        <f>SmtRes!O96</f>
        <v>чел.-ч</v>
      </c>
      <c r="E182" s="24">
        <f>SmtRes!Y96</f>
        <v>48.1</v>
      </c>
      <c r="F182" s="24">
        <f>SmtRes!Y96*Source!I41</f>
        <v>2.2607</v>
      </c>
      <c r="G182" s="27">
        <f>(SmtRes!AA96+SmtRes!AB96+SmtRes!AD96)</f>
        <v>125.72</v>
      </c>
      <c r="H182" s="28">
        <f>(SmtRes!AA96*SmtRes!Y96*Source!I41+SmtRes!AB96*SmtRes!Y96*Source!I41+SmtRes!AD96*SmtRes!Y96*Source!I41)</f>
        <v>284.215204</v>
      </c>
      <c r="I182" s="28">
        <f>SmtRes!AD96*SmtRes!Y96*Source!I41</f>
        <v>284.215204</v>
      </c>
      <c r="J182" s="24"/>
      <c r="K182" s="24"/>
      <c r="L182" s="24"/>
      <c r="M182" s="24"/>
      <c r="N182" s="25"/>
    </row>
    <row r="183" spans="1:14" ht="28.5">
      <c r="A183" s="35"/>
      <c r="B183" s="36">
        <f>SmtRes!I97</f>
      </c>
      <c r="C183" s="36" t="s">
        <v>727</v>
      </c>
      <c r="D183" s="37" t="str">
        <f>SmtRes!O97</f>
        <v>т</v>
      </c>
      <c r="E183" s="37">
        <f>SmtRes!Y97</f>
        <v>0.0809137055837564</v>
      </c>
      <c r="F183" s="37">
        <f>SmtRes!Y97*Source!I41</f>
        <v>0.003802944162436551</v>
      </c>
      <c r="G183" s="38">
        <f>(SmtRes!AA97+SmtRes!AB97+SmtRes!AD97)</f>
        <v>15152.43</v>
      </c>
      <c r="H183" s="39">
        <f>(SmtRes!AA97*SmtRes!Y97*Source!I41+SmtRes!AB97*SmtRes!Y97*Source!I41+SmtRes!AD97*SmtRes!Y97*Source!I41)</f>
        <v>57.62384521522847</v>
      </c>
      <c r="I183" s="37"/>
      <c r="J183" s="37"/>
      <c r="K183" s="37"/>
      <c r="L183" s="39">
        <f>SmtRes!AA97*SmtRes!Y97*Source!I41</f>
        <v>57.62384521522847</v>
      </c>
      <c r="M183" s="37"/>
      <c r="N183" s="40"/>
    </row>
    <row r="184" spans="1:26" ht="39.75">
      <c r="A184" s="11" t="str">
        <f>IF(Source!E42&lt;&gt;"",Source!E42,"")</f>
        <v>19</v>
      </c>
      <c r="B184" s="11" t="str">
        <f>IF(Source!F42&lt;&gt;"",Source!F42,"")</f>
        <v>15-04-006-4</v>
      </c>
      <c r="C184" s="11" t="s">
        <v>728</v>
      </c>
      <c r="D184" s="12" t="str">
        <f>IF(Source!H42&lt;&gt;"",Source!H42,"")</f>
        <v>100 м2 покрытия</v>
      </c>
      <c r="E184" s="12" t="str">
        <f>IF(Source!J42=0," ",Source!J42)</f>
        <v> </v>
      </c>
      <c r="F184" s="13">
        <f>Source!I42</f>
        <v>0.047</v>
      </c>
      <c r="G184" s="14">
        <f>IF(Source!AB42=0," ",Source!AB42)</f>
        <v>3387.28</v>
      </c>
      <c r="H184" s="15">
        <f>IF(Source!O42=0," ",Source!O42)</f>
        <v>159</v>
      </c>
      <c r="I184" s="15">
        <f>IF(Source!S42=0," ",Source!S42)</f>
        <v>125</v>
      </c>
      <c r="J184" s="15" t="str">
        <f>IF(Source!Q42=0," ",Source!Q42)</f>
        <v> </v>
      </c>
      <c r="K184" s="15" t="str">
        <f>IF(Source!R42=0," ",Source!R42)</f>
        <v> </v>
      </c>
      <c r="L184" s="15">
        <f>IF(Source!P42=0," ",Source!P42)</f>
        <v>34</v>
      </c>
      <c r="M184" s="16">
        <f>IF(Source!U42=0," ",ROUND(Source!U42,6))</f>
        <v>0.882096</v>
      </c>
      <c r="N184" s="16">
        <f>IF(Source!V42=0," ",ROUND(Source!V42,6))</f>
        <v>0.000588</v>
      </c>
      <c r="T184">
        <f>IF(Source!O42=0," ",Source!O42)</f>
        <v>159</v>
      </c>
      <c r="U184">
        <v>34</v>
      </c>
      <c r="V184">
        <f>IF(Source!S42=0," ",Source!S42)</f>
        <v>125</v>
      </c>
      <c r="W184" t="str">
        <f>IF(Source!Q42=0," ",Source!Q42)</f>
        <v> </v>
      </c>
      <c r="X184" t="str">
        <f>IF(Source!R42=0," ",Source!R42)</f>
        <v> </v>
      </c>
      <c r="Y184">
        <f>IF(Source!U42=0," ",ROUND(Source!U42,6))</f>
        <v>0.882096</v>
      </c>
      <c r="Z184">
        <f>IF(Source!V42=0," ",ROUND(Source!V42,6))</f>
        <v>0.000588</v>
      </c>
    </row>
    <row r="185" spans="1:14" ht="15">
      <c r="A185" s="46"/>
      <c r="B185" s="46"/>
      <c r="C185" s="17" t="s">
        <v>257</v>
      </c>
      <c r="D185" s="18" t="str">
        <f>CONCATENATE(Source!AT42," %")</f>
        <v>80,33 %</v>
      </c>
      <c r="E185" s="18"/>
      <c r="F185" s="18"/>
      <c r="G185" s="18"/>
      <c r="H185" s="19">
        <f>Source!X42</f>
        <v>100</v>
      </c>
      <c r="I185" s="46"/>
      <c r="J185" s="46"/>
      <c r="K185" s="46"/>
      <c r="L185" s="46"/>
      <c r="M185" s="46"/>
      <c r="N185" s="46"/>
    </row>
    <row r="186" spans="1:14" ht="15">
      <c r="A186" s="46"/>
      <c r="B186" s="46"/>
      <c r="C186" s="17" t="s">
        <v>259</v>
      </c>
      <c r="D186" s="18" t="str">
        <f>CONCATENATE(Source!AU42," %")</f>
        <v>37,4 %</v>
      </c>
      <c r="E186" s="18"/>
      <c r="F186" s="18"/>
      <c r="G186" s="18"/>
      <c r="H186" s="19">
        <f>Source!Y42</f>
        <v>47</v>
      </c>
      <c r="I186" s="46"/>
      <c r="J186" s="46"/>
      <c r="K186" s="46"/>
      <c r="L186" s="46"/>
      <c r="M186" s="46"/>
      <c r="N186" s="46"/>
    </row>
    <row r="187" spans="1:14" ht="14.25">
      <c r="A187" s="47"/>
      <c r="B187" s="47"/>
      <c r="C187" s="20" t="s">
        <v>680</v>
      </c>
      <c r="D187" s="21"/>
      <c r="E187" s="21"/>
      <c r="F187" s="21"/>
      <c r="G187" s="21"/>
      <c r="H187" s="22">
        <f>SUMIF(Source!AA42:Source!AA42,"=26994759",Source!GM42:Source!GM42)</f>
        <v>306</v>
      </c>
      <c r="I187" s="47"/>
      <c r="J187" s="47"/>
      <c r="K187" s="47"/>
      <c r="L187" s="47"/>
      <c r="M187" s="47"/>
      <c r="N187" s="47"/>
    </row>
    <row r="188" spans="1:14" ht="43.5">
      <c r="A188" s="23"/>
      <c r="B188" s="26" t="str">
        <f>SmtRes!I98</f>
        <v>1-1040</v>
      </c>
      <c r="C188" s="26" t="s">
        <v>698</v>
      </c>
      <c r="D188" s="24" t="str">
        <f>SmtRes!O98</f>
        <v>чел.-ч</v>
      </c>
      <c r="E188" s="24">
        <f>SmtRes!Y98</f>
        <v>18.767999999999997</v>
      </c>
      <c r="F188" s="24">
        <f>SmtRes!Y98*Source!I42</f>
        <v>0.8820959999999999</v>
      </c>
      <c r="G188" s="27">
        <f>(SmtRes!AA98+SmtRes!AB98+SmtRes!AD98)</f>
        <v>141.83</v>
      </c>
      <c r="H188" s="28">
        <f>(SmtRes!AA98*SmtRes!Y98*Source!I42+SmtRes!AB98*SmtRes!Y98*Source!I42+SmtRes!AD98*SmtRes!Y98*Source!I42)</f>
        <v>125.10767568</v>
      </c>
      <c r="I188" s="28">
        <f>SmtRes!AD98*SmtRes!Y98*Source!I42</f>
        <v>125.10767568</v>
      </c>
      <c r="J188" s="24"/>
      <c r="K188" s="24"/>
      <c r="L188" s="24"/>
      <c r="M188" s="24"/>
      <c r="N188" s="25"/>
    </row>
    <row r="189" spans="1:14" ht="28.5">
      <c r="A189" s="29"/>
      <c r="B189" s="32" t="str">
        <f>SmtRes!I99</f>
        <v>2</v>
      </c>
      <c r="C189" s="32" t="s">
        <v>687</v>
      </c>
      <c r="D189" s="30" t="str">
        <f>SmtRes!O99</f>
        <v>чел.час</v>
      </c>
      <c r="E189" s="30">
        <f>SmtRes!Y99</f>
        <v>0.0125</v>
      </c>
      <c r="F189" s="30">
        <f>SmtRes!Y99*Source!I42</f>
        <v>0.0005875</v>
      </c>
      <c r="G189" s="33">
        <f>(SmtRes!AA99+SmtRes!AB99+SmtRes!AD99)</f>
        <v>0</v>
      </c>
      <c r="H189" s="34">
        <f>(SmtRes!AA99*SmtRes!Y99*Source!I42+SmtRes!AB99*SmtRes!Y99*Source!I42+SmtRes!AD99*SmtRes!Y99*Source!I42)</f>
        <v>0</v>
      </c>
      <c r="I189" s="30"/>
      <c r="J189" s="30"/>
      <c r="K189" s="34">
        <f>SmtRes!AC99*SmtRes!Y99*Source!I42</f>
        <v>0</v>
      </c>
      <c r="L189" s="30"/>
      <c r="M189" s="30"/>
      <c r="N189" s="31"/>
    </row>
    <row r="190" spans="1:14" ht="58.5">
      <c r="A190" s="29"/>
      <c r="B190" s="32" t="str">
        <f>SmtRes!I100</f>
        <v>030954</v>
      </c>
      <c r="C190" s="32" t="s">
        <v>699</v>
      </c>
      <c r="D190" s="30" t="str">
        <f>SmtRes!O100</f>
        <v>маш.-ч</v>
      </c>
      <c r="E190" s="30">
        <f>SmtRes!Y100</f>
        <v>0.0125</v>
      </c>
      <c r="F190" s="30">
        <f>SmtRes!Y100*Source!I42</f>
        <v>0.0005875</v>
      </c>
      <c r="G190" s="33">
        <f>(SmtRes!AA100+SmtRes!AB100+SmtRes!AD100)</f>
        <v>246.77</v>
      </c>
      <c r="H190" s="34">
        <f>(SmtRes!AA100*SmtRes!Y100*Source!I42+SmtRes!AB100*SmtRes!Y100*Source!I42+SmtRes!AD100*SmtRes!Y100*Source!I42)</f>
        <v>0.14497737500000002</v>
      </c>
      <c r="I190" s="30"/>
      <c r="J190" s="34">
        <f>SmtRes!AB100*SmtRes!Y100*Source!I42</f>
        <v>0.14497737500000002</v>
      </c>
      <c r="K190" s="34">
        <f>SmtRes!AC100*SmtRes!Y100*Source!I42</f>
        <v>0</v>
      </c>
      <c r="L190" s="30"/>
      <c r="M190" s="30"/>
      <c r="N190" s="31"/>
    </row>
    <row r="191" spans="1:14" ht="15">
      <c r="A191" s="29"/>
      <c r="B191" s="32" t="str">
        <f>SmtRes!I101</f>
        <v>101-1757</v>
      </c>
      <c r="C191" s="32" t="str">
        <f>SmtRes!K101</f>
        <v>Ветошь</v>
      </c>
      <c r="D191" s="30" t="str">
        <f>SmtRes!O101</f>
        <v>кг</v>
      </c>
      <c r="E191" s="30">
        <f>SmtRes!Y101</f>
        <v>0.2</v>
      </c>
      <c r="F191" s="30">
        <f>SmtRes!Y101*Source!I42</f>
        <v>0.0094</v>
      </c>
      <c r="G191" s="33">
        <f>(SmtRes!AA101+SmtRes!AB101+SmtRes!AD101)</f>
        <v>52.32</v>
      </c>
      <c r="H191" s="34">
        <f>(SmtRes!AA101*SmtRes!Y101*Source!I42+SmtRes!AB101*SmtRes!Y101*Source!I42+SmtRes!AD101*SmtRes!Y101*Source!I42)</f>
        <v>0.491808</v>
      </c>
      <c r="I191" s="30"/>
      <c r="J191" s="30"/>
      <c r="K191" s="30"/>
      <c r="L191" s="34">
        <f>SmtRes!AA101*SmtRes!Y101*Source!I42</f>
        <v>0.491808</v>
      </c>
      <c r="M191" s="30"/>
      <c r="N191" s="31"/>
    </row>
    <row r="192" spans="1:14" ht="15">
      <c r="A192" s="35"/>
      <c r="B192" s="36" t="str">
        <f>SmtRes!I102</f>
        <v>101-9732</v>
      </c>
      <c r="C192" s="36" t="str">
        <f>SmtRes!K102</f>
        <v>Грунтовка</v>
      </c>
      <c r="D192" s="37" t="str">
        <f>SmtRes!O102</f>
        <v>т</v>
      </c>
      <c r="E192" s="37">
        <f>SmtRes!Y102</f>
        <v>0.02</v>
      </c>
      <c r="F192" s="37">
        <f>SmtRes!Y102*Source!I42</f>
        <v>0.00094</v>
      </c>
      <c r="G192" s="38">
        <f>(SmtRes!AA102+SmtRes!AB102+SmtRes!AD102)</f>
        <v>35593.22</v>
      </c>
      <c r="H192" s="39">
        <f>(SmtRes!AA102*SmtRes!Y102*Source!I42+SmtRes!AB102*SmtRes!Y102*Source!I42+SmtRes!AD102*SmtRes!Y102*Source!I42)</f>
        <v>33.4576268</v>
      </c>
      <c r="I192" s="37"/>
      <c r="J192" s="37"/>
      <c r="K192" s="37"/>
      <c r="L192" s="39">
        <f>SmtRes!AA102*SmtRes!Y102*Source!I42</f>
        <v>33.4576268</v>
      </c>
      <c r="M192" s="37"/>
      <c r="N192" s="40"/>
    </row>
    <row r="193" spans="1:26" ht="68.25">
      <c r="A193" s="11" t="str">
        <f>IF(Source!E43&lt;&gt;"",Source!E43,"")</f>
        <v>20</v>
      </c>
      <c r="B193" s="11" t="str">
        <f>IF(Source!F43&lt;&gt;"",Source!F43,"")</f>
        <v>10-01-035-1</v>
      </c>
      <c r="C193" s="11" t="s">
        <v>729</v>
      </c>
      <c r="D193" s="12" t="str">
        <f>IF(Source!H43&lt;&gt;"",Source!H43,"")</f>
        <v>100 п. м</v>
      </c>
      <c r="E193" s="12" t="str">
        <f>IF(Source!J43=0," ",Source!J43)</f>
        <v> </v>
      </c>
      <c r="F193" s="13">
        <f>Source!I43</f>
        <v>0.045</v>
      </c>
      <c r="G193" s="14">
        <f>IF(Source!AB43=0," ",Source!AB43)</f>
        <v>57674.83</v>
      </c>
      <c r="H193" s="15">
        <f>IF(Source!O43=0," ",Source!O43)</f>
        <v>2595</v>
      </c>
      <c r="I193" s="15">
        <f>IF(Source!S43=0," ",Source!S43)</f>
        <v>138</v>
      </c>
      <c r="J193" s="15">
        <f>IF(Source!Q43=0," ",Source!Q43)</f>
        <v>6</v>
      </c>
      <c r="K193" s="15" t="str">
        <f>IF(Source!R43=0," ",Source!R43)</f>
        <v> </v>
      </c>
      <c r="L193" s="15">
        <f>IF(Source!P43=0," ",Source!P43)</f>
        <v>2451</v>
      </c>
      <c r="M193" s="16">
        <f>IF(Source!U43=0," ",ROUND(Source!U43,6))</f>
        <v>1.096583</v>
      </c>
      <c r="N193" s="16">
        <f>IF(Source!V43=0," ",ROUND(Source!V43,6))</f>
        <v>0.00225</v>
      </c>
      <c r="T193">
        <f>IF(Source!O43=0," ",Source!O43)</f>
        <v>2595</v>
      </c>
      <c r="U193">
        <v>2451</v>
      </c>
      <c r="V193">
        <f>IF(Source!S43=0," ",Source!S43)</f>
        <v>138</v>
      </c>
      <c r="W193">
        <f>IF(Source!Q43=0," ",Source!Q43)</f>
        <v>6</v>
      </c>
      <c r="X193" t="str">
        <f>IF(Source!R43=0," ",Source!R43)</f>
        <v> </v>
      </c>
      <c r="Y193">
        <f>IF(Source!U43=0," ",ROUND(Source!U43,6))</f>
        <v>1.096583</v>
      </c>
      <c r="Z193">
        <f>IF(Source!V43=0," ",ROUND(Source!V43,6))</f>
        <v>0.00225</v>
      </c>
    </row>
    <row r="194" spans="1:14" ht="15">
      <c r="A194" s="46"/>
      <c r="B194" s="46"/>
      <c r="C194" s="17" t="s">
        <v>257</v>
      </c>
      <c r="D194" s="18" t="str">
        <f>CONCATENATE(Source!AT43," %")</f>
        <v>90,27 %</v>
      </c>
      <c r="E194" s="18"/>
      <c r="F194" s="18"/>
      <c r="G194" s="18"/>
      <c r="H194" s="19">
        <f>Source!X43</f>
        <v>125</v>
      </c>
      <c r="I194" s="46"/>
      <c r="J194" s="46"/>
      <c r="K194" s="46"/>
      <c r="L194" s="46"/>
      <c r="M194" s="46"/>
      <c r="N194" s="46"/>
    </row>
    <row r="195" spans="1:14" ht="15">
      <c r="A195" s="46"/>
      <c r="B195" s="46"/>
      <c r="C195" s="17" t="s">
        <v>259</v>
      </c>
      <c r="D195" s="18" t="str">
        <f>CONCATENATE(Source!AU43," %")</f>
        <v>42,84 %</v>
      </c>
      <c r="E195" s="18"/>
      <c r="F195" s="18"/>
      <c r="G195" s="18"/>
      <c r="H195" s="19">
        <f>Source!Y43</f>
        <v>59</v>
      </c>
      <c r="I195" s="46"/>
      <c r="J195" s="46"/>
      <c r="K195" s="46"/>
      <c r="L195" s="46"/>
      <c r="M195" s="46"/>
      <c r="N195" s="46"/>
    </row>
    <row r="196" spans="1:14" ht="14.25">
      <c r="A196" s="47"/>
      <c r="B196" s="47"/>
      <c r="C196" s="20" t="s">
        <v>680</v>
      </c>
      <c r="D196" s="21"/>
      <c r="E196" s="21"/>
      <c r="F196" s="21"/>
      <c r="G196" s="21"/>
      <c r="H196" s="22">
        <f>SUMIF(Source!AA43:Source!AA43,"=26994759",Source!GM43:Source!GM43)</f>
        <v>2779</v>
      </c>
      <c r="I196" s="47"/>
      <c r="J196" s="47"/>
      <c r="K196" s="47"/>
      <c r="L196" s="47"/>
      <c r="M196" s="47"/>
      <c r="N196" s="47"/>
    </row>
    <row r="197" spans="1:14" ht="43.5">
      <c r="A197" s="23"/>
      <c r="B197" s="26" t="str">
        <f>SmtRes!I103</f>
        <v>1-1030</v>
      </c>
      <c r="C197" s="26" t="s">
        <v>730</v>
      </c>
      <c r="D197" s="24" t="str">
        <f>SmtRes!O103</f>
        <v>чел.-ч</v>
      </c>
      <c r="E197" s="24">
        <f>SmtRes!Y103</f>
        <v>24.3685</v>
      </c>
      <c r="F197" s="24">
        <f>SmtRes!Y103*Source!I43</f>
        <v>1.0965825</v>
      </c>
      <c r="G197" s="27">
        <f>(SmtRes!AA103+SmtRes!AB103+SmtRes!AD103)</f>
        <v>125.72</v>
      </c>
      <c r="H197" s="28">
        <f>(SmtRes!AA103*SmtRes!Y103*Source!I43+SmtRes!AB103*SmtRes!Y103*Source!I43+SmtRes!AD103*SmtRes!Y103*Source!I43)</f>
        <v>137.8623519</v>
      </c>
      <c r="I197" s="28">
        <f>SmtRes!AD103*SmtRes!Y103*Source!I43</f>
        <v>137.8623519</v>
      </c>
      <c r="J197" s="24"/>
      <c r="K197" s="24"/>
      <c r="L197" s="24"/>
      <c r="M197" s="24"/>
      <c r="N197" s="25"/>
    </row>
    <row r="198" spans="1:14" ht="28.5">
      <c r="A198" s="29"/>
      <c r="B198" s="32" t="str">
        <f>SmtRes!I104</f>
        <v>2</v>
      </c>
      <c r="C198" s="32" t="s">
        <v>687</v>
      </c>
      <c r="D198" s="30" t="str">
        <f>SmtRes!O104</f>
        <v>чел.час</v>
      </c>
      <c r="E198" s="30">
        <f>SmtRes!Y104</f>
        <v>0.05</v>
      </c>
      <c r="F198" s="30">
        <f>SmtRes!Y104*Source!I43</f>
        <v>0.00225</v>
      </c>
      <c r="G198" s="33">
        <f>(SmtRes!AA104+SmtRes!AB104+SmtRes!AD104)</f>
        <v>0</v>
      </c>
      <c r="H198" s="34">
        <f>(SmtRes!AA104*SmtRes!Y104*Source!I43+SmtRes!AB104*SmtRes!Y104*Source!I43+SmtRes!AD104*SmtRes!Y104*Source!I43)</f>
        <v>0</v>
      </c>
      <c r="I198" s="30"/>
      <c r="J198" s="30"/>
      <c r="K198" s="34">
        <f>SmtRes!AC104*SmtRes!Y104*Source!I43</f>
        <v>0</v>
      </c>
      <c r="L198" s="30"/>
      <c r="M198" s="30"/>
      <c r="N198" s="31"/>
    </row>
    <row r="199" spans="1:14" ht="58.5">
      <c r="A199" s="29"/>
      <c r="B199" s="32" t="str">
        <f>SmtRes!I105</f>
        <v>030954</v>
      </c>
      <c r="C199" s="32" t="s">
        <v>699</v>
      </c>
      <c r="D199" s="30" t="str">
        <f>SmtRes!O105</f>
        <v>маш.-ч</v>
      </c>
      <c r="E199" s="30">
        <f>SmtRes!Y105</f>
        <v>0.05</v>
      </c>
      <c r="F199" s="30">
        <f>SmtRes!Y105*Source!I43</f>
        <v>0.00225</v>
      </c>
      <c r="G199" s="33">
        <f>(SmtRes!AA105+SmtRes!AB105+SmtRes!AD105)</f>
        <v>246.77</v>
      </c>
      <c r="H199" s="34">
        <f>(SmtRes!AA105*SmtRes!Y105*Source!I43+SmtRes!AB105*SmtRes!Y105*Source!I43+SmtRes!AD105*SmtRes!Y105*Source!I43)</f>
        <v>0.5552325</v>
      </c>
      <c r="I199" s="30"/>
      <c r="J199" s="34">
        <f>SmtRes!AB105*SmtRes!Y105*Source!I43</f>
        <v>0.5552325</v>
      </c>
      <c r="K199" s="34">
        <f>SmtRes!AC105*SmtRes!Y105*Source!I43</f>
        <v>0</v>
      </c>
      <c r="L199" s="30"/>
      <c r="M199" s="30"/>
      <c r="N199" s="31"/>
    </row>
    <row r="200" spans="1:14" ht="43.5">
      <c r="A200" s="29"/>
      <c r="B200" s="32" t="str">
        <f>SmtRes!I106</f>
        <v>400001</v>
      </c>
      <c r="C200" s="32" t="s">
        <v>692</v>
      </c>
      <c r="D200" s="30" t="str">
        <f>SmtRes!O106</f>
        <v>маш.-ч</v>
      </c>
      <c r="E200" s="30">
        <f>SmtRes!Y106</f>
        <v>0.1875</v>
      </c>
      <c r="F200" s="30">
        <f>SmtRes!Y106*Source!I43</f>
        <v>0.0084375</v>
      </c>
      <c r="G200" s="33">
        <f>(SmtRes!AA106+SmtRes!AB106+SmtRes!AD106)</f>
        <v>691.3</v>
      </c>
      <c r="H200" s="34">
        <f>(SmtRes!AA106*SmtRes!Y106*Source!I43+SmtRes!AB106*SmtRes!Y106*Source!I43+SmtRes!AD106*SmtRes!Y106*Source!I43)</f>
        <v>5.8328437499999986</v>
      </c>
      <c r="I200" s="30"/>
      <c r="J200" s="34">
        <f>SmtRes!AB106*SmtRes!Y106*Source!I43</f>
        <v>5.8328437499999986</v>
      </c>
      <c r="K200" s="34">
        <f>SmtRes!AC106*SmtRes!Y106*Source!I43</f>
        <v>0</v>
      </c>
      <c r="L200" s="30"/>
      <c r="M200" s="30"/>
      <c r="N200" s="31"/>
    </row>
    <row r="201" spans="1:14" ht="45">
      <c r="A201" s="29"/>
      <c r="B201" s="32" t="str">
        <f>SmtRes!I107</f>
        <v>101-2388</v>
      </c>
      <c r="C201" s="32" t="str">
        <f>SmtRes!K107</f>
        <v>Герметик пенополиуретановый (пена монтажная) типа Makrofleks, Soudal в баллонах по 750 мл</v>
      </c>
      <c r="D201" s="30" t="str">
        <f>SmtRes!O107</f>
        <v>шт.</v>
      </c>
      <c r="E201" s="30">
        <f>SmtRes!Y107</f>
        <v>56.6</v>
      </c>
      <c r="F201" s="30">
        <f>SmtRes!Y107*Source!I43</f>
        <v>2.547</v>
      </c>
      <c r="G201" s="33">
        <f>(SmtRes!AA107+SmtRes!AB107+SmtRes!AD107)</f>
        <v>279.66</v>
      </c>
      <c r="H201" s="34">
        <f>(SmtRes!AA107*SmtRes!Y107*Source!I43+SmtRes!AB107*SmtRes!Y107*Source!I43+SmtRes!AD107*SmtRes!Y107*Source!I43)</f>
        <v>712.29402</v>
      </c>
      <c r="I201" s="30"/>
      <c r="J201" s="30"/>
      <c r="K201" s="30"/>
      <c r="L201" s="34">
        <f>SmtRes!AA107*SmtRes!Y107*Source!I43</f>
        <v>712.29402</v>
      </c>
      <c r="M201" s="30"/>
      <c r="N201" s="31"/>
    </row>
    <row r="202" spans="1:14" ht="15">
      <c r="A202" s="29"/>
      <c r="B202" s="32" t="str">
        <f>SmtRes!I108</f>
        <v>101-9138</v>
      </c>
      <c r="C202" s="32" t="str">
        <f>SmtRes!K108</f>
        <v>Доски подоконные ПВХ</v>
      </c>
      <c r="D202" s="30" t="str">
        <f>SmtRes!O108</f>
        <v>м</v>
      </c>
      <c r="E202" s="30">
        <f>SmtRes!Y108</f>
        <v>105</v>
      </c>
      <c r="F202" s="30">
        <f>SmtRes!Y108*Source!I43</f>
        <v>4.725</v>
      </c>
      <c r="G202" s="33">
        <f>(SmtRes!AA108+SmtRes!AB108+SmtRes!AD108)</f>
        <v>366.1</v>
      </c>
      <c r="H202" s="34">
        <f>(SmtRes!AA108*SmtRes!Y108*Source!I43+SmtRes!AB108*SmtRes!Y108*Source!I43+SmtRes!AD108*SmtRes!Y108*Source!I43)</f>
        <v>1729.8225</v>
      </c>
      <c r="I202" s="30"/>
      <c r="J202" s="30"/>
      <c r="K202" s="30"/>
      <c r="L202" s="34">
        <f>SmtRes!AA108*SmtRes!Y108*Source!I43</f>
        <v>1729.8225</v>
      </c>
      <c r="M202" s="30"/>
      <c r="N202" s="31"/>
    </row>
    <row r="203" spans="1:14" ht="15">
      <c r="A203" s="35"/>
      <c r="B203" s="36" t="str">
        <f>SmtRes!I109</f>
        <v>102-0303</v>
      </c>
      <c r="C203" s="36" t="str">
        <f>SmtRes!K109</f>
        <v>Клинья пластиковые монтажные</v>
      </c>
      <c r="D203" s="37" t="str">
        <f>SmtRes!O109</f>
        <v>шт.</v>
      </c>
      <c r="E203" s="37">
        <f>SmtRes!Y109</f>
        <v>400</v>
      </c>
      <c r="F203" s="37">
        <f>SmtRes!Y109*Source!I43</f>
        <v>18</v>
      </c>
      <c r="G203" s="38">
        <f>(SmtRes!AA109+SmtRes!AB109+SmtRes!AD109)</f>
        <v>0.5</v>
      </c>
      <c r="H203" s="39">
        <f>(SmtRes!AA109*SmtRes!Y109*Source!I43+SmtRes!AB109*SmtRes!Y109*Source!I43+SmtRes!AD109*SmtRes!Y109*Source!I43)</f>
        <v>9</v>
      </c>
      <c r="I203" s="37"/>
      <c r="J203" s="37"/>
      <c r="K203" s="37"/>
      <c r="L203" s="39">
        <f>SmtRes!AA109*SmtRes!Y109*Source!I43</f>
        <v>9</v>
      </c>
      <c r="M203" s="37"/>
      <c r="N203" s="40"/>
    </row>
    <row r="204" spans="1:26" ht="71.25">
      <c r="A204" s="11" t="str">
        <f>IF(Source!E44&lt;&gt;"",Source!E44,"")</f>
        <v>21</v>
      </c>
      <c r="B204" s="11" t="str">
        <f>IF(Source!F44&lt;&gt;"",Source!F44,"")</f>
        <v>15-04-005-2</v>
      </c>
      <c r="C204" s="11" t="s">
        <v>731</v>
      </c>
      <c r="D204" s="12" t="str">
        <f>IF(Source!H44&lt;&gt;"",Source!H44,"")</f>
        <v>100 м2 окрашиваемой поверхности</v>
      </c>
      <c r="E204" s="12" t="str">
        <f>IF(Source!J44=0," ",Source!J44)</f>
        <v> </v>
      </c>
      <c r="F204" s="13">
        <f>Source!I44</f>
        <v>0.549</v>
      </c>
      <c r="G204" s="14">
        <f>IF(Source!AB44=0," ",Source!AB44)</f>
        <v>8969.5</v>
      </c>
      <c r="H204" s="15">
        <f>IF(Source!O44=0," ",Source!O44)</f>
        <v>4924</v>
      </c>
      <c r="I204" s="15">
        <f>IF(Source!S44=0," ",Source!S44)</f>
        <v>1415</v>
      </c>
      <c r="J204" s="15">
        <f>IF(Source!Q44=0," ",Source!Q44)</f>
        <v>44</v>
      </c>
      <c r="K204" s="15" t="str">
        <f>IF(Source!R44=0," ",Source!R44)</f>
        <v> </v>
      </c>
      <c r="L204" s="15">
        <f>IF(Source!P44=0," ",Source!P44)</f>
        <v>3465</v>
      </c>
      <c r="M204" s="16">
        <f>IF(Source!U44=0," ",ROUND(Source!U44,6))</f>
        <v>10.695069</v>
      </c>
      <c r="N204" s="16">
        <f>IF(Source!V44=0," ",ROUND(Source!V44,6))</f>
        <v>0.006863</v>
      </c>
      <c r="T204">
        <f>IF(Source!O44=0," ",Source!O44)</f>
        <v>4924</v>
      </c>
      <c r="U204">
        <v>3465</v>
      </c>
      <c r="V204">
        <f>IF(Source!S44=0," ",Source!S44)</f>
        <v>1415</v>
      </c>
      <c r="W204">
        <f>IF(Source!Q44=0," ",Source!Q44)</f>
        <v>44</v>
      </c>
      <c r="X204" t="str">
        <f>IF(Source!R44=0," ",Source!R44)</f>
        <v> </v>
      </c>
      <c r="Y204">
        <f>IF(Source!U44=0," ",ROUND(Source!U44,6))</f>
        <v>10.695069</v>
      </c>
      <c r="Z204">
        <f>IF(Source!V44=0," ",ROUND(Source!V44,6))</f>
        <v>0.006863</v>
      </c>
    </row>
    <row r="205" spans="1:14" ht="15">
      <c r="A205" s="46"/>
      <c r="B205" s="46"/>
      <c r="C205" s="17" t="s">
        <v>257</v>
      </c>
      <c r="D205" s="18" t="str">
        <f>CONCATENATE(Source!AT44," %")</f>
        <v>80,33 %</v>
      </c>
      <c r="E205" s="18"/>
      <c r="F205" s="18"/>
      <c r="G205" s="18"/>
      <c r="H205" s="19">
        <f>Source!X44</f>
        <v>1137</v>
      </c>
      <c r="I205" s="46"/>
      <c r="J205" s="46"/>
      <c r="K205" s="46"/>
      <c r="L205" s="46"/>
      <c r="M205" s="46"/>
      <c r="N205" s="46"/>
    </row>
    <row r="206" spans="1:14" ht="15">
      <c r="A206" s="46"/>
      <c r="B206" s="46"/>
      <c r="C206" s="17" t="s">
        <v>259</v>
      </c>
      <c r="D206" s="18" t="str">
        <f>CONCATENATE(Source!AU44," %")</f>
        <v>37,4 %</v>
      </c>
      <c r="E206" s="18"/>
      <c r="F206" s="18"/>
      <c r="G206" s="18"/>
      <c r="H206" s="19">
        <f>Source!Y44</f>
        <v>529</v>
      </c>
      <c r="I206" s="46"/>
      <c r="J206" s="46"/>
      <c r="K206" s="46"/>
      <c r="L206" s="46"/>
      <c r="M206" s="46"/>
      <c r="N206" s="46"/>
    </row>
    <row r="207" spans="1:14" ht="14.25">
      <c r="A207" s="47"/>
      <c r="B207" s="47"/>
      <c r="C207" s="20" t="s">
        <v>680</v>
      </c>
      <c r="D207" s="21"/>
      <c r="E207" s="21"/>
      <c r="F207" s="21"/>
      <c r="G207" s="21"/>
      <c r="H207" s="22">
        <f>SUMIF(Source!AA44:Source!AA44,"=26994759",Source!GM44:Source!GM44)</f>
        <v>6590</v>
      </c>
      <c r="I207" s="47"/>
      <c r="J207" s="47"/>
      <c r="K207" s="47"/>
      <c r="L207" s="47"/>
      <c r="M207" s="47"/>
      <c r="N207" s="47"/>
    </row>
    <row r="208" spans="1:14" ht="43.5">
      <c r="A208" s="23"/>
      <c r="B208" s="26" t="str">
        <f>SmtRes!I110</f>
        <v>1-1034</v>
      </c>
      <c r="C208" s="26" t="s">
        <v>704</v>
      </c>
      <c r="D208" s="24" t="str">
        <f>SmtRes!O110</f>
        <v>чел.-ч</v>
      </c>
      <c r="E208" s="24">
        <f>SmtRes!Y110</f>
        <v>19.481</v>
      </c>
      <c r="F208" s="24">
        <f>SmtRes!Y110*Source!I44</f>
        <v>10.695069000000002</v>
      </c>
      <c r="G208" s="27">
        <f>(SmtRes!AA110+SmtRes!AB110+SmtRes!AD110)</f>
        <v>132.29</v>
      </c>
      <c r="H208" s="28">
        <f>(SmtRes!AA110*SmtRes!Y110*Source!I44+SmtRes!AB110*SmtRes!Y110*Source!I44+SmtRes!AD110*SmtRes!Y110*Source!I44)</f>
        <v>1414.8506780100001</v>
      </c>
      <c r="I208" s="28">
        <f>SmtRes!AD110*SmtRes!Y110*Source!I44</f>
        <v>1414.8506780100001</v>
      </c>
      <c r="J208" s="24"/>
      <c r="K208" s="24"/>
      <c r="L208" s="24"/>
      <c r="M208" s="24"/>
      <c r="N208" s="25"/>
    </row>
    <row r="209" spans="1:14" ht="28.5">
      <c r="A209" s="29"/>
      <c r="B209" s="32" t="str">
        <f>SmtRes!I111</f>
        <v>2</v>
      </c>
      <c r="C209" s="32" t="s">
        <v>687</v>
      </c>
      <c r="D209" s="30" t="str">
        <f>SmtRes!O111</f>
        <v>чел.час</v>
      </c>
      <c r="E209" s="30">
        <f>SmtRes!Y111</f>
        <v>0.0125</v>
      </c>
      <c r="F209" s="30">
        <f>SmtRes!Y111*Source!I44</f>
        <v>0.0068625000000000005</v>
      </c>
      <c r="G209" s="33">
        <f>(SmtRes!AA111+SmtRes!AB111+SmtRes!AD111)</f>
        <v>0</v>
      </c>
      <c r="H209" s="34">
        <f>(SmtRes!AA111*SmtRes!Y111*Source!I44+SmtRes!AB111*SmtRes!Y111*Source!I44+SmtRes!AD111*SmtRes!Y111*Source!I44)</f>
        <v>0</v>
      </c>
      <c r="I209" s="30"/>
      <c r="J209" s="30"/>
      <c r="K209" s="34">
        <f>SmtRes!AC111*SmtRes!Y111*Source!I44</f>
        <v>0</v>
      </c>
      <c r="L209" s="30"/>
      <c r="M209" s="30"/>
      <c r="N209" s="31"/>
    </row>
    <row r="210" spans="1:14" ht="58.5">
      <c r="A210" s="29"/>
      <c r="B210" s="32" t="str">
        <f>SmtRes!I112</f>
        <v>030954</v>
      </c>
      <c r="C210" s="32" t="s">
        <v>699</v>
      </c>
      <c r="D210" s="30" t="str">
        <f>SmtRes!O112</f>
        <v>маш.-ч</v>
      </c>
      <c r="E210" s="30">
        <f>SmtRes!Y112</f>
        <v>0.0125</v>
      </c>
      <c r="F210" s="30">
        <f>SmtRes!Y112*Source!I44</f>
        <v>0.0068625000000000005</v>
      </c>
      <c r="G210" s="33">
        <f>(SmtRes!AA112+SmtRes!AB112+SmtRes!AD112)</f>
        <v>246.77</v>
      </c>
      <c r="H210" s="34">
        <f>(SmtRes!AA112*SmtRes!Y112*Source!I44+SmtRes!AB112*SmtRes!Y112*Source!I44+SmtRes!AD112*SmtRes!Y112*Source!I44)</f>
        <v>1.6934591250000004</v>
      </c>
      <c r="I210" s="30"/>
      <c r="J210" s="34">
        <f>SmtRes!AB112*SmtRes!Y112*Source!I44</f>
        <v>1.6934591250000004</v>
      </c>
      <c r="K210" s="34">
        <f>SmtRes!AC112*SmtRes!Y112*Source!I44</f>
        <v>0</v>
      </c>
      <c r="L210" s="30"/>
      <c r="M210" s="30"/>
      <c r="N210" s="31"/>
    </row>
    <row r="211" spans="1:14" ht="43.5">
      <c r="A211" s="29"/>
      <c r="B211" s="32" t="str">
        <f>SmtRes!I113</f>
        <v>400001</v>
      </c>
      <c r="C211" s="32" t="s">
        <v>692</v>
      </c>
      <c r="D211" s="30" t="str">
        <f>SmtRes!O113</f>
        <v>маш.-ч</v>
      </c>
      <c r="E211" s="30">
        <f>SmtRes!Y113</f>
        <v>0.11249999999999999</v>
      </c>
      <c r="F211" s="30">
        <f>SmtRes!Y113*Source!I44</f>
        <v>0.0617625</v>
      </c>
      <c r="G211" s="33">
        <f>(SmtRes!AA113+SmtRes!AB113+SmtRes!AD113)</f>
        <v>691.3</v>
      </c>
      <c r="H211" s="34">
        <f>(SmtRes!AA113*SmtRes!Y113*Source!I44+SmtRes!AB113*SmtRes!Y113*Source!I44+SmtRes!AD113*SmtRes!Y113*Source!I44)</f>
        <v>42.69641624999999</v>
      </c>
      <c r="I211" s="30"/>
      <c r="J211" s="34">
        <f>SmtRes!AB113*SmtRes!Y113*Source!I44</f>
        <v>42.69641624999999</v>
      </c>
      <c r="K211" s="34">
        <f>SmtRes!AC113*SmtRes!Y113*Source!I44</f>
        <v>0</v>
      </c>
      <c r="L211" s="30"/>
      <c r="M211" s="30"/>
      <c r="N211" s="31"/>
    </row>
    <row r="212" spans="1:14" ht="30">
      <c r="A212" s="29"/>
      <c r="B212" s="32" t="str">
        <f>SmtRes!I114</f>
        <v>101-1596</v>
      </c>
      <c r="C212" s="32" t="str">
        <f>SmtRes!K114</f>
        <v>Шкурка шлифовальная двухслойная с зернистостью 40-25</v>
      </c>
      <c r="D212" s="30" t="str">
        <f>SmtRes!O114</f>
        <v>м2</v>
      </c>
      <c r="E212" s="30">
        <f>SmtRes!Y114</f>
        <v>0.33</v>
      </c>
      <c r="F212" s="30">
        <f>SmtRes!Y114*Source!I44</f>
        <v>0.18117000000000003</v>
      </c>
      <c r="G212" s="33">
        <f>(SmtRes!AA114+SmtRes!AB114+SmtRes!AD114)</f>
        <v>406.78</v>
      </c>
      <c r="H212" s="34">
        <f>(SmtRes!AA114*SmtRes!Y114*Source!I44+SmtRes!AB114*SmtRes!Y114*Source!I44+SmtRes!AD114*SmtRes!Y114*Source!I44)</f>
        <v>73.6963326</v>
      </c>
      <c r="I212" s="30"/>
      <c r="J212" s="30"/>
      <c r="K212" s="30"/>
      <c r="L212" s="34">
        <f>SmtRes!AA114*SmtRes!Y114*Source!I44</f>
        <v>73.6963326</v>
      </c>
      <c r="M212" s="30"/>
      <c r="N212" s="31"/>
    </row>
    <row r="213" spans="1:14" ht="15">
      <c r="A213" s="29"/>
      <c r="B213" s="32" t="str">
        <f>SmtRes!I115</f>
        <v>101-1712</v>
      </c>
      <c r="C213" s="32" t="str">
        <f>SmtRes!K115</f>
        <v>Шпаклевка гипсовая</v>
      </c>
      <c r="D213" s="30" t="str">
        <f>SmtRes!O115</f>
        <v>т</v>
      </c>
      <c r="E213" s="30">
        <f>SmtRes!Y115</f>
        <v>0.0055</v>
      </c>
      <c r="F213" s="30">
        <f>SmtRes!Y115*Source!I44</f>
        <v>0.0030195</v>
      </c>
      <c r="G213" s="33">
        <f>(SmtRes!AA115+SmtRes!AB115+SmtRes!AD115)</f>
        <v>15152.43</v>
      </c>
      <c r="H213" s="34">
        <f>(SmtRes!AA115*SmtRes!Y115*Source!I44+SmtRes!AB115*SmtRes!Y115*Source!I44+SmtRes!AD115*SmtRes!Y115*Source!I44)</f>
        <v>45.752762385000004</v>
      </c>
      <c r="I213" s="30"/>
      <c r="J213" s="30"/>
      <c r="K213" s="30"/>
      <c r="L213" s="34">
        <f>SmtRes!AA115*SmtRes!Y115*Source!I44</f>
        <v>45.752762385000004</v>
      </c>
      <c r="M213" s="30"/>
      <c r="N213" s="31"/>
    </row>
    <row r="214" spans="1:14" ht="15">
      <c r="A214" s="29"/>
      <c r="B214" s="32" t="str">
        <f>SmtRes!I116</f>
        <v>101-1757</v>
      </c>
      <c r="C214" s="32" t="str">
        <f>SmtRes!K116</f>
        <v>Ветошь</v>
      </c>
      <c r="D214" s="30" t="str">
        <f>SmtRes!O116</f>
        <v>кг</v>
      </c>
      <c r="E214" s="30">
        <f>SmtRes!Y116</f>
        <v>0.11</v>
      </c>
      <c r="F214" s="30">
        <f>SmtRes!Y116*Source!I44</f>
        <v>0.060390000000000006</v>
      </c>
      <c r="G214" s="33">
        <f>(SmtRes!AA116+SmtRes!AB116+SmtRes!AD116)</f>
        <v>52.32</v>
      </c>
      <c r="H214" s="34">
        <f>(SmtRes!AA116*SmtRes!Y116*Source!I44+SmtRes!AB116*SmtRes!Y116*Source!I44+SmtRes!AD116*SmtRes!Y116*Source!I44)</f>
        <v>3.1596048000000003</v>
      </c>
      <c r="I214" s="30"/>
      <c r="J214" s="30"/>
      <c r="K214" s="30"/>
      <c r="L214" s="34">
        <f>SmtRes!AA116*SmtRes!Y116*Source!I44</f>
        <v>3.1596048000000003</v>
      </c>
      <c r="M214" s="30"/>
      <c r="N214" s="31"/>
    </row>
    <row r="215" spans="1:14" ht="15">
      <c r="A215" s="35"/>
      <c r="B215" s="36" t="str">
        <f>SmtRes!I117</f>
        <v>101-1959</v>
      </c>
      <c r="C215" s="36" t="str">
        <f>SmtRes!K117</f>
        <v>Краска ХВ-785</v>
      </c>
      <c r="D215" s="37" t="str">
        <f>SmtRes!O117</f>
        <v>т</v>
      </c>
      <c r="E215" s="37">
        <f>SmtRes!Y117</f>
        <v>0.057</v>
      </c>
      <c r="F215" s="37">
        <f>SmtRes!Y117*Source!I44</f>
        <v>0.031293</v>
      </c>
      <c r="G215" s="38">
        <f>(SmtRes!AA117+SmtRes!AB117+SmtRes!AD117)</f>
        <v>106810</v>
      </c>
      <c r="H215" s="39">
        <f>(SmtRes!AA117*SmtRes!Y117*Source!I44+SmtRes!AB117*SmtRes!Y117*Source!I44+SmtRes!AD117*SmtRes!Y117*Source!I44)</f>
        <v>3342.4053300000005</v>
      </c>
      <c r="I215" s="37"/>
      <c r="J215" s="37"/>
      <c r="K215" s="37"/>
      <c r="L215" s="39">
        <f>SmtRes!AA117*SmtRes!Y117*Source!I44</f>
        <v>3342.4053300000005</v>
      </c>
      <c r="M215" s="37"/>
      <c r="N215" s="40"/>
    </row>
    <row r="216" spans="1:26" ht="41.25">
      <c r="A216" s="11" t="str">
        <f>IF(Source!E45&lt;&gt;"",Source!E45,"")</f>
        <v>22</v>
      </c>
      <c r="B216" s="11" t="str">
        <f>IF(Source!F45&lt;&gt;"",Source!F45,"")</f>
        <v>46-04-003-5</v>
      </c>
      <c r="C216" s="11" t="s">
        <v>732</v>
      </c>
      <c r="D216" s="12" t="str">
        <f>IF(Source!H45&lt;&gt;"",Source!H45,"")</f>
        <v>1 м3</v>
      </c>
      <c r="E216" s="12" t="str">
        <f>IF(Source!J45=0," ",Source!J45)</f>
        <v> </v>
      </c>
      <c r="F216" s="13">
        <f>Source!I45</f>
        <v>9.725</v>
      </c>
      <c r="G216" s="14">
        <f>IF(Source!AB45=0," ",Source!AB45)</f>
        <v>22177.88</v>
      </c>
      <c r="H216" s="15">
        <f>IF(Source!O45=0," ",Source!O45)</f>
        <v>215680</v>
      </c>
      <c r="I216" s="15">
        <f>IF(Source!S45=0," ",Source!S45)</f>
        <v>60630</v>
      </c>
      <c r="J216" s="15">
        <f>IF(Source!Q45=0," ",Source!Q45)</f>
        <v>155050</v>
      </c>
      <c r="K216" s="15" t="str">
        <f>IF(Source!R45=0," ",Source!R45)</f>
        <v> </v>
      </c>
      <c r="L216" s="15" t="str">
        <f>IF(Source!P45=0," ",Source!P45)</f>
        <v> </v>
      </c>
      <c r="M216" s="16">
        <f>IF(Source!U45=0," ",ROUND(Source!U45,6))</f>
        <v>482.26275</v>
      </c>
      <c r="N216" s="16">
        <f>IF(Source!V45=0," ",ROUND(Source!V45,6))</f>
        <v>224.453</v>
      </c>
      <c r="T216">
        <f>IF(Source!O45=0," ",Source!O45)</f>
        <v>215680</v>
      </c>
      <c r="U216" t="s">
        <v>724</v>
      </c>
      <c r="V216">
        <f>IF(Source!S45=0," ",Source!S45)</f>
        <v>60630</v>
      </c>
      <c r="W216">
        <f>IF(Source!Q45=0," ",Source!Q45)</f>
        <v>155050</v>
      </c>
      <c r="X216" t="str">
        <f>IF(Source!R45=0," ",Source!R45)</f>
        <v> </v>
      </c>
      <c r="Y216">
        <f>IF(Source!U45=0," ",ROUND(Source!U45,6))</f>
        <v>482.26275</v>
      </c>
      <c r="Z216">
        <f>IF(Source!V45=0," ",ROUND(Source!V45,6))</f>
        <v>224.453</v>
      </c>
    </row>
    <row r="217" spans="1:14" ht="15">
      <c r="A217" s="46"/>
      <c r="B217" s="46"/>
      <c r="C217" s="17" t="s">
        <v>257</v>
      </c>
      <c r="D217" s="18" t="str">
        <f>CONCATENATE(Source!AT45," %")</f>
        <v>93,5 %</v>
      </c>
      <c r="E217" s="18"/>
      <c r="F217" s="18"/>
      <c r="G217" s="18"/>
      <c r="H217" s="19">
        <f>Source!X45</f>
        <v>56689</v>
      </c>
      <c r="I217" s="46"/>
      <c r="J217" s="46"/>
      <c r="K217" s="46"/>
      <c r="L217" s="46"/>
      <c r="M217" s="46"/>
      <c r="N217" s="46"/>
    </row>
    <row r="218" spans="1:14" ht="15">
      <c r="A218" s="46"/>
      <c r="B218" s="46"/>
      <c r="C218" s="17" t="s">
        <v>259</v>
      </c>
      <c r="D218" s="18" t="str">
        <f>CONCATENATE(Source!AU45," %")</f>
        <v>56 %</v>
      </c>
      <c r="E218" s="18"/>
      <c r="F218" s="18"/>
      <c r="G218" s="18"/>
      <c r="H218" s="19">
        <f>Source!Y45</f>
        <v>33953</v>
      </c>
      <c r="I218" s="46"/>
      <c r="J218" s="46"/>
      <c r="K218" s="46"/>
      <c r="L218" s="46"/>
      <c r="M218" s="46"/>
      <c r="N218" s="46"/>
    </row>
    <row r="219" spans="1:14" ht="14.25">
      <c r="A219" s="47"/>
      <c r="B219" s="47"/>
      <c r="C219" s="20" t="s">
        <v>680</v>
      </c>
      <c r="D219" s="21"/>
      <c r="E219" s="21"/>
      <c r="F219" s="21"/>
      <c r="G219" s="21"/>
      <c r="H219" s="22">
        <f>SUMIF(Source!AA45:Source!AA45,"=26994759",Source!GM45:Source!GM45)</f>
        <v>306322</v>
      </c>
      <c r="I219" s="47"/>
      <c r="J219" s="47"/>
      <c r="K219" s="47"/>
      <c r="L219" s="47"/>
      <c r="M219" s="47"/>
      <c r="N219" s="47"/>
    </row>
    <row r="220" spans="1:14" ht="30">
      <c r="A220" s="23"/>
      <c r="B220" s="26" t="str">
        <f>SmtRes!I118</f>
        <v>1-1030</v>
      </c>
      <c r="C220" s="26" t="str">
        <f>SmtRes!K118</f>
        <v>Рабочий строитель среднего разряда 3</v>
      </c>
      <c r="D220" s="24" t="str">
        <f>SmtRes!O118</f>
        <v>чел.-ч</v>
      </c>
      <c r="E220" s="24">
        <f>SmtRes!Y118</f>
        <v>49.59</v>
      </c>
      <c r="F220" s="24">
        <f>SmtRes!Y118*Source!I45</f>
        <v>482.26275000000004</v>
      </c>
      <c r="G220" s="27">
        <f>(SmtRes!AA118+SmtRes!AB118+SmtRes!AD118)</f>
        <v>125.72</v>
      </c>
      <c r="H220" s="28">
        <f>(SmtRes!AA118*SmtRes!Y118*Source!I45+SmtRes!AB118*SmtRes!Y118*Source!I45+SmtRes!AD118*SmtRes!Y118*Source!I45)</f>
        <v>60630.07293</v>
      </c>
      <c r="I220" s="28">
        <f>SmtRes!AD118*SmtRes!Y118*Source!I45</f>
        <v>60630.07293</v>
      </c>
      <c r="J220" s="24"/>
      <c r="K220" s="24"/>
      <c r="L220" s="24"/>
      <c r="M220" s="24"/>
      <c r="N220" s="25"/>
    </row>
    <row r="221" spans="1:14" ht="15">
      <c r="A221" s="29"/>
      <c r="B221" s="32" t="str">
        <f>SmtRes!I119</f>
        <v>2</v>
      </c>
      <c r="C221" s="32" t="str">
        <f>SmtRes!K119</f>
        <v>Затраты труда машинистов</v>
      </c>
      <c r="D221" s="30" t="str">
        <f>SmtRes!O119</f>
        <v>чел.час</v>
      </c>
      <c r="E221" s="30">
        <f>SmtRes!Y119</f>
        <v>23.08</v>
      </c>
      <c r="F221" s="30">
        <f>SmtRes!Y119*Source!I45</f>
        <v>224.45299999999997</v>
      </c>
      <c r="G221" s="33">
        <f>(SmtRes!AA119+SmtRes!AB119+SmtRes!AD119)</f>
        <v>0</v>
      </c>
      <c r="H221" s="34">
        <f>(SmtRes!AA119*SmtRes!Y119*Source!I45+SmtRes!AB119*SmtRes!Y119*Source!I45+SmtRes!AD119*SmtRes!Y119*Source!I45)</f>
        <v>0</v>
      </c>
      <c r="I221" s="30"/>
      <c r="J221" s="30"/>
      <c r="K221" s="34">
        <f>SmtRes!AC119*SmtRes!Y119*Source!I45</f>
        <v>0</v>
      </c>
      <c r="L221" s="30"/>
      <c r="M221" s="30"/>
      <c r="N221" s="31"/>
    </row>
    <row r="222" spans="1:14" ht="60">
      <c r="A222" s="29"/>
      <c r="B222" s="32" t="str">
        <f>SmtRes!I120</f>
        <v>050101</v>
      </c>
      <c r="C222" s="32" t="str">
        <f>SmtRes!K120</f>
        <v>Компрессоры передвижные с двигателем внутреннего сгорания давлением до 686 кПа (7 ат), производительность  до 5 м3/мин</v>
      </c>
      <c r="D222" s="30" t="str">
        <f>SmtRes!O120</f>
        <v>маш.-ч</v>
      </c>
      <c r="E222" s="30">
        <f>SmtRes!Y120</f>
        <v>23.08</v>
      </c>
      <c r="F222" s="30">
        <f>SmtRes!Y120*Source!I45</f>
        <v>224.45299999999997</v>
      </c>
      <c r="G222" s="33">
        <f>(SmtRes!AA120+SmtRes!AB120+SmtRes!AD120)</f>
        <v>536.87</v>
      </c>
      <c r="H222" s="34">
        <f>(SmtRes!AA120*SmtRes!Y120*Source!I45+SmtRes!AB120*SmtRes!Y120*Source!I45+SmtRes!AD120*SmtRes!Y120*Source!I45)</f>
        <v>120502.08210999997</v>
      </c>
      <c r="I222" s="30"/>
      <c r="J222" s="34">
        <f>SmtRes!AB120*SmtRes!Y120*Source!I45</f>
        <v>120502.08210999997</v>
      </c>
      <c r="K222" s="34">
        <f>SmtRes!AC120*SmtRes!Y120*Source!I45</f>
        <v>0</v>
      </c>
      <c r="L222" s="30"/>
      <c r="M222" s="30"/>
      <c r="N222" s="31"/>
    </row>
    <row r="223" spans="1:14" ht="45">
      <c r="A223" s="35"/>
      <c r="B223" s="36" t="str">
        <f>SmtRes!I121</f>
        <v>330804</v>
      </c>
      <c r="C223" s="36" t="str">
        <f>SmtRes!K121</f>
        <v>Молотки при работе от передвижных компрессорных станций отбойные пневматические</v>
      </c>
      <c r="D223" s="37" t="str">
        <f>SmtRes!O121</f>
        <v>маш.-ч</v>
      </c>
      <c r="E223" s="37">
        <f>SmtRes!Y121</f>
        <v>46.16</v>
      </c>
      <c r="F223" s="37">
        <f>SmtRes!Y121*Source!I45</f>
        <v>448.90599999999995</v>
      </c>
      <c r="G223" s="38">
        <f>(SmtRes!AA121+SmtRes!AB121+SmtRes!AD121)</f>
        <v>76.96</v>
      </c>
      <c r="H223" s="39">
        <f>(SmtRes!AA121*SmtRes!Y121*Source!I45+SmtRes!AB121*SmtRes!Y121*Source!I45+SmtRes!AD121*SmtRes!Y121*Source!I45)</f>
        <v>34547.805759999996</v>
      </c>
      <c r="I223" s="37"/>
      <c r="J223" s="39">
        <f>SmtRes!AB121*SmtRes!Y121*Source!I45</f>
        <v>34547.805759999996</v>
      </c>
      <c r="K223" s="39">
        <f>SmtRes!AC121*SmtRes!Y121*Source!I45</f>
        <v>0</v>
      </c>
      <c r="L223" s="37"/>
      <c r="M223" s="37"/>
      <c r="N223" s="40"/>
    </row>
    <row r="224" spans="1:26" ht="54">
      <c r="A224" s="11" t="str">
        <f>IF(Source!E46&lt;&gt;"",Source!E46,"")</f>
        <v>23</v>
      </c>
      <c r="B224" s="11" t="str">
        <f>IF(Source!F46&lt;&gt;"",Source!F46,"")</f>
        <v>11-01-014-4</v>
      </c>
      <c r="C224" s="11" t="s">
        <v>733</v>
      </c>
      <c r="D224" s="12" t="str">
        <f>IF(Source!H46&lt;&gt;"",Source!H46,"")</f>
        <v>100 м2 пола</v>
      </c>
      <c r="E224" s="12" t="str">
        <f>IF(Source!J46=0," ",Source!J46)</f>
        <v> </v>
      </c>
      <c r="F224" s="13">
        <f>Source!I46</f>
        <v>0.389</v>
      </c>
      <c r="G224" s="14">
        <f>IF(Source!AB46=0," ",Source!AB46)</f>
        <v>140435.1</v>
      </c>
      <c r="H224" s="15">
        <f>IF(Source!O46=0," ",Source!O46)</f>
        <v>54630</v>
      </c>
      <c r="I224" s="15">
        <f>IF(Source!S46=0," ",Source!S46)</f>
        <v>2481</v>
      </c>
      <c r="J224" s="15">
        <f>IF(Source!Q46=0," ",Source!Q46)</f>
        <v>4455</v>
      </c>
      <c r="K224" s="15" t="str">
        <f>IF(Source!R46=0," ",Source!R46)</f>
        <v> </v>
      </c>
      <c r="L224" s="15">
        <f>IF(Source!P46=0," ",Source!P46)</f>
        <v>47694</v>
      </c>
      <c r="M224" s="16">
        <f>IF(Source!U46=0," ",ROUND(Source!U46,6))</f>
        <v>17.491385</v>
      </c>
      <c r="N224" s="16">
        <f>IF(Source!V46=0," ",ROUND(Source!V46,6))</f>
        <v>6.7686</v>
      </c>
      <c r="T224">
        <f>IF(Source!O46=0," ",Source!O46)</f>
        <v>54630</v>
      </c>
      <c r="U224">
        <v>47694</v>
      </c>
      <c r="V224">
        <f>IF(Source!S46=0," ",Source!S46)</f>
        <v>2481</v>
      </c>
      <c r="W224">
        <f>IF(Source!Q46=0," ",Source!Q46)</f>
        <v>4455</v>
      </c>
      <c r="X224" t="str">
        <f>IF(Source!R46=0," ",Source!R46)</f>
        <v> </v>
      </c>
      <c r="Y224">
        <f>IF(Source!U46=0," ",ROUND(Source!U46,6))</f>
        <v>17.491385</v>
      </c>
      <c r="Z224">
        <f>IF(Source!V46=0," ",ROUND(Source!V46,6))</f>
        <v>6.7686</v>
      </c>
    </row>
    <row r="225" spans="1:14" ht="15">
      <c r="A225" s="46"/>
      <c r="B225" s="46"/>
      <c r="C225" s="17" t="s">
        <v>257</v>
      </c>
      <c r="D225" s="18" t="str">
        <f>CONCATENATE(Source!AT46," %")</f>
        <v>94,1 %</v>
      </c>
      <c r="E225" s="18"/>
      <c r="F225" s="18"/>
      <c r="G225" s="18"/>
      <c r="H225" s="19">
        <f>Source!X46</f>
        <v>2335</v>
      </c>
      <c r="I225" s="46"/>
      <c r="J225" s="46"/>
      <c r="K225" s="46"/>
      <c r="L225" s="46"/>
      <c r="M225" s="46"/>
      <c r="N225" s="46"/>
    </row>
    <row r="226" spans="1:14" ht="15">
      <c r="A226" s="46"/>
      <c r="B226" s="46"/>
      <c r="C226" s="17" t="s">
        <v>259</v>
      </c>
      <c r="D226" s="18" t="str">
        <f>CONCATENATE(Source!AU46," %")</f>
        <v>51 %</v>
      </c>
      <c r="E226" s="18"/>
      <c r="F226" s="18"/>
      <c r="G226" s="18"/>
      <c r="H226" s="19">
        <f>Source!Y46</f>
        <v>1265</v>
      </c>
      <c r="I226" s="46"/>
      <c r="J226" s="46"/>
      <c r="K226" s="46"/>
      <c r="L226" s="46"/>
      <c r="M226" s="46"/>
      <c r="N226" s="46"/>
    </row>
    <row r="227" spans="1:14" ht="14.25">
      <c r="A227" s="47"/>
      <c r="B227" s="47"/>
      <c r="C227" s="20" t="s">
        <v>680</v>
      </c>
      <c r="D227" s="21"/>
      <c r="E227" s="21"/>
      <c r="F227" s="21"/>
      <c r="G227" s="21"/>
      <c r="H227" s="22">
        <f>SUMIF(Source!AA46:Source!AA46,"=26994759",Source!GM46:Source!GM46)</f>
        <v>58230</v>
      </c>
      <c r="I227" s="47"/>
      <c r="J227" s="47"/>
      <c r="K227" s="47"/>
      <c r="L227" s="47"/>
      <c r="M227" s="47"/>
      <c r="N227" s="47"/>
    </row>
    <row r="228" spans="1:14" ht="43.5">
      <c r="A228" s="23"/>
      <c r="B228" s="26" t="str">
        <f>SmtRes!I122</f>
        <v>1-1040</v>
      </c>
      <c r="C228" s="26" t="s">
        <v>698</v>
      </c>
      <c r="D228" s="24" t="str">
        <f>SmtRes!O122</f>
        <v>чел.-ч</v>
      </c>
      <c r="E228" s="24">
        <f>SmtRes!Y122</f>
        <v>44.964999999999996</v>
      </c>
      <c r="F228" s="24">
        <f>SmtRes!Y122*Source!I46</f>
        <v>17.491384999999998</v>
      </c>
      <c r="G228" s="27">
        <f>(SmtRes!AA122+SmtRes!AB122+SmtRes!AD122)</f>
        <v>141.83</v>
      </c>
      <c r="H228" s="28">
        <f>(SmtRes!AA122*SmtRes!Y122*Source!I46+SmtRes!AB122*SmtRes!Y122*Source!I46+SmtRes!AD122*SmtRes!Y122*Source!I46)</f>
        <v>2480.80313455</v>
      </c>
      <c r="I228" s="28">
        <f>SmtRes!AD122*SmtRes!Y122*Source!I46</f>
        <v>2480.80313455</v>
      </c>
      <c r="J228" s="24"/>
      <c r="K228" s="24"/>
      <c r="L228" s="24"/>
      <c r="M228" s="24"/>
      <c r="N228" s="25"/>
    </row>
    <row r="229" spans="1:14" ht="28.5">
      <c r="A229" s="29"/>
      <c r="B229" s="32" t="str">
        <f>SmtRes!I123</f>
        <v>2</v>
      </c>
      <c r="C229" s="32" t="s">
        <v>687</v>
      </c>
      <c r="D229" s="30" t="str">
        <f>SmtRes!O123</f>
        <v>чел.час</v>
      </c>
      <c r="E229" s="30">
        <f>SmtRes!Y123</f>
        <v>17.4</v>
      </c>
      <c r="F229" s="30">
        <f>SmtRes!Y123*Source!I46</f>
        <v>6.768599999999999</v>
      </c>
      <c r="G229" s="33">
        <f>(SmtRes!AA123+SmtRes!AB123+SmtRes!AD123)</f>
        <v>0</v>
      </c>
      <c r="H229" s="34">
        <f>(SmtRes!AA123*SmtRes!Y123*Source!I46+SmtRes!AB123*SmtRes!Y123*Source!I46+SmtRes!AD123*SmtRes!Y123*Source!I46)</f>
        <v>0</v>
      </c>
      <c r="I229" s="30"/>
      <c r="J229" s="30"/>
      <c r="K229" s="34">
        <f>SmtRes!AC123*SmtRes!Y123*Source!I46</f>
        <v>0</v>
      </c>
      <c r="L229" s="30"/>
      <c r="M229" s="30"/>
      <c r="N229" s="31"/>
    </row>
    <row r="230" spans="1:14" ht="28.5">
      <c r="A230" s="29"/>
      <c r="B230" s="32" t="str">
        <f>SmtRes!I124</f>
        <v>391602</v>
      </c>
      <c r="C230" s="32" t="s">
        <v>734</v>
      </c>
      <c r="D230" s="30" t="str">
        <f>SmtRes!O124</f>
        <v>маш.-ч</v>
      </c>
      <c r="E230" s="30">
        <f>SmtRes!Y124</f>
        <v>17.4</v>
      </c>
      <c r="F230" s="30">
        <f>SmtRes!Y124*Source!I46</f>
        <v>6.768599999999999</v>
      </c>
      <c r="G230" s="33">
        <f>(SmtRes!AA124+SmtRes!AB124+SmtRes!AD124)</f>
        <v>658.15</v>
      </c>
      <c r="H230" s="34">
        <f>(SmtRes!AA124*SmtRes!Y124*Source!I46+SmtRes!AB124*SmtRes!Y124*Source!I46+SmtRes!AD124*SmtRes!Y124*Source!I46)</f>
        <v>4454.75409</v>
      </c>
      <c r="I230" s="30"/>
      <c r="J230" s="34">
        <f>SmtRes!AB124*SmtRes!Y124*Source!I46</f>
        <v>4454.75409</v>
      </c>
      <c r="K230" s="34">
        <f>SmtRes!AC124*SmtRes!Y124*Source!I46</f>
        <v>0</v>
      </c>
      <c r="L230" s="30"/>
      <c r="M230" s="30"/>
      <c r="N230" s="31"/>
    </row>
    <row r="231" spans="1:14" ht="15">
      <c r="A231" s="29"/>
      <c r="B231" s="32">
        <f>SmtRes!I125</f>
      </c>
      <c r="C231" s="32" t="str">
        <f>SmtRes!K125</f>
        <v>Труба профильная 50*50*3</v>
      </c>
      <c r="D231" s="30" t="str">
        <f>SmtRes!O125</f>
        <v>т</v>
      </c>
      <c r="E231" s="30">
        <f>SmtRes!Y125</f>
        <v>0.14</v>
      </c>
      <c r="F231" s="30">
        <f>SmtRes!Y125*Source!I46</f>
        <v>0.05446000000000001</v>
      </c>
      <c r="G231" s="33">
        <f>(SmtRes!AA125+SmtRes!AB125+SmtRes!AD125)</f>
        <v>34745.76</v>
      </c>
      <c r="H231" s="34">
        <f>(SmtRes!AA125*SmtRes!Y125*Source!I46+SmtRes!AB125*SmtRes!Y125*Source!I46+SmtRes!AD125*SmtRes!Y125*Source!I46)</f>
        <v>1892.2540896000003</v>
      </c>
      <c r="I231" s="30"/>
      <c r="J231" s="30"/>
      <c r="K231" s="30"/>
      <c r="L231" s="34">
        <f>SmtRes!AA125*SmtRes!Y125*Source!I46</f>
        <v>1892.2540896000003</v>
      </c>
      <c r="M231" s="30"/>
      <c r="N231" s="31"/>
    </row>
    <row r="232" spans="1:14" ht="45">
      <c r="A232" s="29"/>
      <c r="B232" s="32" t="str">
        <f>SmtRes!I126</f>
        <v>102-0114</v>
      </c>
      <c r="C232" s="32" t="str">
        <f>SmtRes!K126</f>
        <v>Доски обрезные хвойных пород длиной 2-3,75 м, шириной 75-150 мм, толщиной 25 мм, IV сорта</v>
      </c>
      <c r="D232" s="30" t="str">
        <f>SmtRes!O126</f>
        <v>м3</v>
      </c>
      <c r="E232" s="30">
        <f>SmtRes!Y126</f>
        <v>0.19</v>
      </c>
      <c r="F232" s="30">
        <f>SmtRes!Y126*Source!I46</f>
        <v>0.07391</v>
      </c>
      <c r="G232" s="33">
        <f>(SmtRes!AA126+SmtRes!AB126+SmtRes!AD126)</f>
        <v>5508.47</v>
      </c>
      <c r="H232" s="34">
        <f>(SmtRes!AA126*SmtRes!Y126*Source!I46+SmtRes!AB126*SmtRes!Y126*Source!I46+SmtRes!AD126*SmtRes!Y126*Source!I46)</f>
        <v>407.13101770000003</v>
      </c>
      <c r="I232" s="30"/>
      <c r="J232" s="30"/>
      <c r="K232" s="30"/>
      <c r="L232" s="34">
        <f>SmtRes!AA126*SmtRes!Y126*Source!I46</f>
        <v>407.13101770000003</v>
      </c>
      <c r="M232" s="30"/>
      <c r="N232" s="31"/>
    </row>
    <row r="233" spans="1:14" ht="30">
      <c r="A233" s="35"/>
      <c r="B233" s="36" t="str">
        <f>SmtRes!I127</f>
        <v>401-0046</v>
      </c>
      <c r="C233" s="36" t="str">
        <f>SmtRes!K127</f>
        <v>Бетон тяжелый, крупность заполнителя 40 мм, класс В15 (М200)</v>
      </c>
      <c r="D233" s="37" t="str">
        <f>SmtRes!O127</f>
        <v>м3</v>
      </c>
      <c r="E233" s="37">
        <f>SmtRes!Y127</f>
        <v>25.5</v>
      </c>
      <c r="F233" s="37">
        <f>SmtRes!Y127*Source!I46</f>
        <v>9.919500000000001</v>
      </c>
      <c r="G233" s="38">
        <f>(SmtRes!AA127+SmtRes!AB127+SmtRes!AD127)</f>
        <v>4576.27</v>
      </c>
      <c r="H233" s="39">
        <f>(SmtRes!AA127*SmtRes!Y127*Source!I46+SmtRes!AB127*SmtRes!Y127*Source!I46+SmtRes!AD127*SmtRes!Y127*Source!I46)</f>
        <v>45394.31026500001</v>
      </c>
      <c r="I233" s="37"/>
      <c r="J233" s="37"/>
      <c r="K233" s="37"/>
      <c r="L233" s="39">
        <f>SmtRes!AA127*SmtRes!Y127*Source!I46</f>
        <v>45394.31026500001</v>
      </c>
      <c r="M233" s="37"/>
      <c r="N233" s="40"/>
    </row>
    <row r="234" spans="1:26" ht="82.5">
      <c r="A234" s="11" t="str">
        <f>IF(Source!E47&lt;&gt;"",Source!E47,"")</f>
        <v>24</v>
      </c>
      <c r="B234" s="11" t="str">
        <f>IF(Source!F47&lt;&gt;"",Source!F47,"")</f>
        <v>13-05-002-4</v>
      </c>
      <c r="C234" s="11" t="s">
        <v>735</v>
      </c>
      <c r="D234" s="12" t="str">
        <f>IF(Source!H47&lt;&gt;"",Source!H47,"")</f>
        <v>1 м2 оклеиваемой поверхности</v>
      </c>
      <c r="E234" s="12" t="str">
        <f>IF(Source!J47=0," ",Source!J47)</f>
        <v> </v>
      </c>
      <c r="F234" s="13">
        <f>Source!I47</f>
        <v>46.073</v>
      </c>
      <c r="G234" s="14">
        <f>IF(Source!AB47=0," ",Source!AB47)</f>
        <v>3148.47</v>
      </c>
      <c r="H234" s="15">
        <f>IF(Source!O47=0," ",Source!O47)</f>
        <v>145059</v>
      </c>
      <c r="I234" s="15">
        <f>IF(Source!S47=0," ",Source!S47)</f>
        <v>59366</v>
      </c>
      <c r="J234" s="15">
        <f>IF(Source!Q47=0," ",Source!Q47)</f>
        <v>1741</v>
      </c>
      <c r="K234" s="15" t="str">
        <f>IF(Source!R47=0," ",Source!R47)</f>
        <v> </v>
      </c>
      <c r="L234" s="15">
        <f>IF(Source!P47=0," ",Source!P47)</f>
        <v>83952</v>
      </c>
      <c r="M234" s="16">
        <f>IF(Source!U47=0," ",ROUND(Source!U47,6))</f>
        <v>383.603798</v>
      </c>
      <c r="N234" s="16">
        <f>IF(Source!V47=0," ",ROUND(Source!V47,6))</f>
        <v>0.575913</v>
      </c>
      <c r="T234">
        <f>IF(Source!O47=0," ",Source!O47)</f>
        <v>145059</v>
      </c>
      <c r="U234">
        <v>83952</v>
      </c>
      <c r="V234">
        <f>IF(Source!S47=0," ",Source!S47)</f>
        <v>59366</v>
      </c>
      <c r="W234">
        <f>IF(Source!Q47=0," ",Source!Q47)</f>
        <v>1741</v>
      </c>
      <c r="X234" t="str">
        <f>IF(Source!R47=0," ",Source!R47)</f>
        <v> </v>
      </c>
      <c r="Y234">
        <f>IF(Source!U47=0," ",ROUND(Source!U47,6))</f>
        <v>383.603798</v>
      </c>
      <c r="Z234">
        <f>IF(Source!V47=0," ",ROUND(Source!V47,6))</f>
        <v>0.575913</v>
      </c>
    </row>
    <row r="235" spans="1:14" ht="15">
      <c r="A235" s="46"/>
      <c r="B235" s="46"/>
      <c r="C235" s="17" t="s">
        <v>257</v>
      </c>
      <c r="D235" s="18" t="str">
        <f>CONCATENATE(Source!AT47," %")</f>
        <v>68,85 %</v>
      </c>
      <c r="E235" s="18"/>
      <c r="F235" s="18"/>
      <c r="G235" s="18"/>
      <c r="H235" s="19">
        <f>Source!X47</f>
        <v>40873</v>
      </c>
      <c r="I235" s="46"/>
      <c r="J235" s="46"/>
      <c r="K235" s="46"/>
      <c r="L235" s="46"/>
      <c r="M235" s="46"/>
      <c r="N235" s="46"/>
    </row>
    <row r="236" spans="1:14" ht="15">
      <c r="A236" s="46"/>
      <c r="B236" s="46"/>
      <c r="C236" s="17" t="s">
        <v>259</v>
      </c>
      <c r="D236" s="18" t="str">
        <f>CONCATENATE(Source!AU47," %")</f>
        <v>47,6 %</v>
      </c>
      <c r="E236" s="18"/>
      <c r="F236" s="18"/>
      <c r="G236" s="18"/>
      <c r="H236" s="19">
        <f>Source!Y47</f>
        <v>28258</v>
      </c>
      <c r="I236" s="46"/>
      <c r="J236" s="46"/>
      <c r="K236" s="46"/>
      <c r="L236" s="46"/>
      <c r="M236" s="46"/>
      <c r="N236" s="46"/>
    </row>
    <row r="237" spans="1:14" ht="14.25">
      <c r="A237" s="47"/>
      <c r="B237" s="47"/>
      <c r="C237" s="20" t="s">
        <v>680</v>
      </c>
      <c r="D237" s="21"/>
      <c r="E237" s="21"/>
      <c r="F237" s="21"/>
      <c r="G237" s="21"/>
      <c r="H237" s="22">
        <f>SUMIF(Source!AA47:Source!AA47,"=26994759",Source!GM47:Source!GM47)</f>
        <v>214190</v>
      </c>
      <c r="I237" s="47"/>
      <c r="J237" s="47"/>
      <c r="K237" s="47"/>
      <c r="L237" s="47"/>
      <c r="M237" s="47"/>
      <c r="N237" s="47"/>
    </row>
    <row r="238" spans="1:14" ht="43.5">
      <c r="A238" s="23"/>
      <c r="B238" s="26" t="str">
        <f>SmtRes!I128</f>
        <v>1-1046</v>
      </c>
      <c r="C238" s="26" t="s">
        <v>736</v>
      </c>
      <c r="D238" s="24" t="str">
        <f>SmtRes!O128</f>
        <v>чел.-ч</v>
      </c>
      <c r="E238" s="24">
        <f>SmtRes!Y128</f>
        <v>8.325999999999999</v>
      </c>
      <c r="F238" s="24">
        <f>SmtRes!Y128*Source!I47</f>
        <v>383.6037979999999</v>
      </c>
      <c r="G238" s="27">
        <f>(SmtRes!AA128+SmtRes!AB128+SmtRes!AD128)</f>
        <v>154.76</v>
      </c>
      <c r="H238" s="28">
        <f>(SmtRes!AA128*SmtRes!Y128*Source!I47+SmtRes!AB128*SmtRes!Y128*Source!I47+SmtRes!AD128*SmtRes!Y128*Source!I47)</f>
        <v>59366.52377847998</v>
      </c>
      <c r="I238" s="28">
        <f>SmtRes!AD128*SmtRes!Y128*Source!I47</f>
        <v>59366.52377847998</v>
      </c>
      <c r="J238" s="24"/>
      <c r="K238" s="24"/>
      <c r="L238" s="24"/>
      <c r="M238" s="24"/>
      <c r="N238" s="25"/>
    </row>
    <row r="239" spans="1:14" ht="28.5">
      <c r="A239" s="29"/>
      <c r="B239" s="32" t="str">
        <f>SmtRes!I129</f>
        <v>2</v>
      </c>
      <c r="C239" s="32" t="s">
        <v>687</v>
      </c>
      <c r="D239" s="30" t="str">
        <f>SmtRes!O129</f>
        <v>чел.час</v>
      </c>
      <c r="E239" s="30">
        <f>SmtRes!Y129</f>
        <v>0.0125</v>
      </c>
      <c r="F239" s="30">
        <f>SmtRes!Y129*Source!I47</f>
        <v>0.5759125</v>
      </c>
      <c r="G239" s="33">
        <f>(SmtRes!AA129+SmtRes!AB129+SmtRes!AD129)</f>
        <v>0</v>
      </c>
      <c r="H239" s="34">
        <f>(SmtRes!AA129*SmtRes!Y129*Source!I47+SmtRes!AB129*SmtRes!Y129*Source!I47+SmtRes!AD129*SmtRes!Y129*Source!I47)</f>
        <v>0</v>
      </c>
      <c r="I239" s="30"/>
      <c r="J239" s="30"/>
      <c r="K239" s="34">
        <f>SmtRes!AC129*SmtRes!Y129*Source!I47</f>
        <v>0</v>
      </c>
      <c r="L239" s="30"/>
      <c r="M239" s="30"/>
      <c r="N239" s="31"/>
    </row>
    <row r="240" spans="1:14" ht="28.5">
      <c r="A240" s="29"/>
      <c r="B240" s="32" t="str">
        <f>SmtRes!I130</f>
        <v>030101</v>
      </c>
      <c r="C240" s="32" t="s">
        <v>721</v>
      </c>
      <c r="D240" s="30" t="str">
        <f>SmtRes!O130</f>
        <v>маш.-ч</v>
      </c>
      <c r="E240" s="30">
        <f>SmtRes!Y130</f>
        <v>0.0125</v>
      </c>
      <c r="F240" s="30">
        <f>SmtRes!Y130*Source!I47</f>
        <v>0.5759125</v>
      </c>
      <c r="G240" s="33">
        <f>(SmtRes!AA130+SmtRes!AB130+SmtRes!AD130)</f>
        <v>490.2</v>
      </c>
      <c r="H240" s="34">
        <f>(SmtRes!AA130*SmtRes!Y130*Source!I47+SmtRes!AB130*SmtRes!Y130*Source!I47+SmtRes!AD130*SmtRes!Y130*Source!I47)</f>
        <v>282.31230750000003</v>
      </c>
      <c r="I240" s="30"/>
      <c r="J240" s="34">
        <f>SmtRes!AB130*SmtRes!Y130*Source!I47</f>
        <v>282.31230750000003</v>
      </c>
      <c r="K240" s="34">
        <f>SmtRes!AC130*SmtRes!Y130*Source!I47</f>
        <v>0</v>
      </c>
      <c r="L240" s="30"/>
      <c r="M240" s="30"/>
      <c r="N240" s="31"/>
    </row>
    <row r="241" spans="1:14" ht="43.5">
      <c r="A241" s="29"/>
      <c r="B241" s="32" t="str">
        <f>SmtRes!I131</f>
        <v>030401</v>
      </c>
      <c r="C241" s="32" t="s">
        <v>737</v>
      </c>
      <c r="D241" s="30" t="str">
        <f>SmtRes!O131</f>
        <v>маш.-ч</v>
      </c>
      <c r="E241" s="30">
        <f>SmtRes!Y131</f>
        <v>0.0125</v>
      </c>
      <c r="F241" s="30">
        <f>SmtRes!Y131*Source!I47</f>
        <v>0.5759125</v>
      </c>
      <c r="G241" s="33">
        <f>(SmtRes!AA131+SmtRes!AB131+SmtRes!AD131)</f>
        <v>5.76</v>
      </c>
      <c r="H241" s="34">
        <f>(SmtRes!AA131*SmtRes!Y131*Source!I47+SmtRes!AB131*SmtRes!Y131*Source!I47+SmtRes!AD131*SmtRes!Y131*Source!I47)</f>
        <v>3.317256</v>
      </c>
      <c r="I241" s="30"/>
      <c r="J241" s="34">
        <f>SmtRes!AB131*SmtRes!Y131*Source!I47</f>
        <v>3.317256</v>
      </c>
      <c r="K241" s="34">
        <f>SmtRes!AC131*SmtRes!Y131*Source!I47</f>
        <v>0</v>
      </c>
      <c r="L241" s="30"/>
      <c r="M241" s="30"/>
      <c r="N241" s="31"/>
    </row>
    <row r="242" spans="1:14" ht="43.5">
      <c r="A242" s="29"/>
      <c r="B242" s="32" t="str">
        <f>SmtRes!I132</f>
        <v>333451</v>
      </c>
      <c r="C242" s="32" t="s">
        <v>738</v>
      </c>
      <c r="D242" s="30" t="str">
        <f>SmtRes!O132</f>
        <v>маш.-ч</v>
      </c>
      <c r="E242" s="30">
        <f>SmtRes!Y132</f>
        <v>0.5</v>
      </c>
      <c r="F242" s="30">
        <f>SmtRes!Y132*Source!I47</f>
        <v>23.0365</v>
      </c>
      <c r="G242" s="33">
        <f>(SmtRes!AA132+SmtRes!AB132+SmtRes!AD132)</f>
        <v>45.88</v>
      </c>
      <c r="H242" s="34">
        <f>(SmtRes!AA132*SmtRes!Y132*Source!I47+SmtRes!AB132*SmtRes!Y132*Source!I47+SmtRes!AD132*SmtRes!Y132*Source!I47)</f>
        <v>1056.91462</v>
      </c>
      <c r="I242" s="30"/>
      <c r="J242" s="34">
        <f>SmtRes!AB132*SmtRes!Y132*Source!I47</f>
        <v>1056.91462</v>
      </c>
      <c r="K242" s="34">
        <f>SmtRes!AC132*SmtRes!Y132*Source!I47</f>
        <v>0</v>
      </c>
      <c r="L242" s="30"/>
      <c r="M242" s="30"/>
      <c r="N242" s="31"/>
    </row>
    <row r="243" spans="1:14" ht="43.5">
      <c r="A243" s="29"/>
      <c r="B243" s="32" t="str">
        <f>SmtRes!I133</f>
        <v>400001</v>
      </c>
      <c r="C243" s="32" t="s">
        <v>692</v>
      </c>
      <c r="D243" s="30" t="str">
        <f>SmtRes!O133</f>
        <v>маш.-ч</v>
      </c>
      <c r="E243" s="30">
        <f>SmtRes!Y133</f>
        <v>0.0125</v>
      </c>
      <c r="F243" s="30">
        <f>SmtRes!Y133*Source!I47</f>
        <v>0.5759125</v>
      </c>
      <c r="G243" s="33">
        <f>(SmtRes!AA133+SmtRes!AB133+SmtRes!AD133)</f>
        <v>691.3</v>
      </c>
      <c r="H243" s="34">
        <f>(SmtRes!AA133*SmtRes!Y133*Source!I47+SmtRes!AB133*SmtRes!Y133*Source!I47+SmtRes!AD133*SmtRes!Y133*Source!I47)</f>
        <v>398.12831124999997</v>
      </c>
      <c r="I243" s="30"/>
      <c r="J243" s="34">
        <f>SmtRes!AB133*SmtRes!Y133*Source!I47</f>
        <v>398.12831124999997</v>
      </c>
      <c r="K243" s="34">
        <f>SmtRes!AC133*SmtRes!Y133*Source!I47</f>
        <v>0</v>
      </c>
      <c r="L243" s="30"/>
      <c r="M243" s="30"/>
      <c r="N243" s="31"/>
    </row>
    <row r="244" spans="1:14" ht="15">
      <c r="A244" s="29"/>
      <c r="B244" s="32" t="str">
        <f>SmtRes!I134</f>
        <v>101-0069</v>
      </c>
      <c r="C244" s="32" t="str">
        <f>SmtRes!K134</f>
        <v>Бензин авиационный Б-70</v>
      </c>
      <c r="D244" s="30" t="str">
        <f>SmtRes!O134</f>
        <v>т</v>
      </c>
      <c r="E244" s="30">
        <f>SmtRes!Y134</f>
        <v>0.00028</v>
      </c>
      <c r="F244" s="30">
        <f>SmtRes!Y134*Source!I47</f>
        <v>0.012900439999999999</v>
      </c>
      <c r="G244" s="33">
        <f>(SmtRes!AA134+SmtRes!AB134+SmtRes!AD134)</f>
        <v>39874.56</v>
      </c>
      <c r="H244" s="34">
        <f>(SmtRes!AA134*SmtRes!Y134*Source!I47+SmtRes!AB134*SmtRes!Y134*Source!I47+SmtRes!AD134*SmtRes!Y134*Source!I47)</f>
        <v>514.3993688063999</v>
      </c>
      <c r="I244" s="30"/>
      <c r="J244" s="30"/>
      <c r="K244" s="30"/>
      <c r="L244" s="34">
        <f>SmtRes!AA134*SmtRes!Y134*Source!I47</f>
        <v>514.3993688063999</v>
      </c>
      <c r="M244" s="30"/>
      <c r="N244" s="31"/>
    </row>
    <row r="245" spans="1:14" ht="15">
      <c r="A245" s="29"/>
      <c r="B245" s="32" t="str">
        <f>SmtRes!I135</f>
        <v>101-0329</v>
      </c>
      <c r="C245" s="32" t="str">
        <f>SmtRes!K135</f>
        <v>Клей 88-СА</v>
      </c>
      <c r="D245" s="30" t="str">
        <f>SmtRes!O135</f>
        <v>кг</v>
      </c>
      <c r="E245" s="30">
        <f>SmtRes!Y135</f>
        <v>1.6</v>
      </c>
      <c r="F245" s="30">
        <f>SmtRes!Y135*Source!I47</f>
        <v>73.7168</v>
      </c>
      <c r="G245" s="33">
        <f>(SmtRes!AA135+SmtRes!AB135+SmtRes!AD135)</f>
        <v>247.12</v>
      </c>
      <c r="H245" s="34">
        <f>(SmtRes!AA135*SmtRes!Y135*Source!I47+SmtRes!AB135*SmtRes!Y135*Source!I47+SmtRes!AD135*SmtRes!Y135*Source!I47)</f>
        <v>18216.895616</v>
      </c>
      <c r="I245" s="30"/>
      <c r="J245" s="30"/>
      <c r="K245" s="30"/>
      <c r="L245" s="34">
        <f>SmtRes!AA135*SmtRes!Y135*Source!I47</f>
        <v>18216.895616</v>
      </c>
      <c r="M245" s="30"/>
      <c r="N245" s="31"/>
    </row>
    <row r="246" spans="1:14" ht="15">
      <c r="A246" s="29"/>
      <c r="B246" s="32" t="str">
        <f>SmtRes!I136</f>
        <v>113-0264</v>
      </c>
      <c r="C246" s="32" t="str">
        <f>SmtRes!K136</f>
        <v>Эфир этиловый технический</v>
      </c>
      <c r="D246" s="30" t="str">
        <f>SmtRes!O136</f>
        <v>т</v>
      </c>
      <c r="E246" s="30">
        <f>SmtRes!Y136</f>
        <v>0.00028</v>
      </c>
      <c r="F246" s="30">
        <f>SmtRes!Y136*Source!I47</f>
        <v>0.012900439999999999</v>
      </c>
      <c r="G246" s="33">
        <f>(SmtRes!AA136+SmtRes!AB136+SmtRes!AD136)</f>
        <v>81420</v>
      </c>
      <c r="H246" s="34">
        <f>(SmtRes!AA136*SmtRes!Y136*Source!I47+SmtRes!AB136*SmtRes!Y136*Source!I47+SmtRes!AD136*SmtRes!Y136*Source!I47)</f>
        <v>1050.3538248</v>
      </c>
      <c r="I246" s="30"/>
      <c r="J246" s="30"/>
      <c r="K246" s="30"/>
      <c r="L246" s="34">
        <f>SmtRes!AA136*SmtRes!Y136*Source!I47</f>
        <v>1050.3538248</v>
      </c>
      <c r="M246" s="30"/>
      <c r="N246" s="31"/>
    </row>
    <row r="247" spans="1:14" ht="15">
      <c r="A247" s="35"/>
      <c r="B247" s="36" t="str">
        <f>SmtRes!I137</f>
        <v>113-0360</v>
      </c>
      <c r="C247" s="36" t="str">
        <f>SmtRes!K137</f>
        <v>Пластины полиизобутиленовые ПСГ</v>
      </c>
      <c r="D247" s="37" t="str">
        <f>SmtRes!O137</f>
        <v>т</v>
      </c>
      <c r="E247" s="37">
        <f>SmtRes!Y137</f>
        <v>0.0076</v>
      </c>
      <c r="F247" s="37">
        <f>SmtRes!Y137*Source!I47</f>
        <v>0.3501548</v>
      </c>
      <c r="G247" s="38">
        <f>(SmtRes!AA137+SmtRes!AB137+SmtRes!AD137)</f>
        <v>183264</v>
      </c>
      <c r="H247" s="39">
        <f>(SmtRes!AA137*SmtRes!Y137*Source!I47+SmtRes!AB137*SmtRes!Y137*Source!I47+SmtRes!AD137*SmtRes!Y137*Source!I47)</f>
        <v>64170.7692672</v>
      </c>
      <c r="I247" s="37"/>
      <c r="J247" s="37"/>
      <c r="K247" s="37"/>
      <c r="L247" s="39">
        <f>SmtRes!AA137*SmtRes!Y137*Source!I47</f>
        <v>64170.7692672</v>
      </c>
      <c r="M247" s="37"/>
      <c r="N247" s="40"/>
    </row>
    <row r="248" spans="1:26" ht="111">
      <c r="A248" s="11" t="str">
        <f>IF(Source!E48&lt;&gt;"",Source!E48,"")</f>
        <v>25</v>
      </c>
      <c r="B248" s="11" t="str">
        <f>IF(Source!F48&lt;&gt;"",Source!F48,"")</f>
        <v>13-01-005-1</v>
      </c>
      <c r="C248" s="11" t="s">
        <v>739</v>
      </c>
      <c r="D248" s="12" t="str">
        <f>IF(Source!H48&lt;&gt;"",Source!H48,"")</f>
        <v>1 м2 площади футеровки</v>
      </c>
      <c r="E248" s="12" t="str">
        <f>IF(Source!J48=0," ",Source!J48)</f>
        <v> </v>
      </c>
      <c r="F248" s="13">
        <f>Source!I48</f>
        <v>46.073</v>
      </c>
      <c r="G248" s="14">
        <f>IF(Source!AB48=0," ",Source!AB48)</f>
        <v>3263.74</v>
      </c>
      <c r="H248" s="15">
        <f>IF(Source!O48=0," ",Source!O48)</f>
        <v>150370</v>
      </c>
      <c r="I248" s="15">
        <f>IF(Source!S48=0," ",Source!S48)</f>
        <v>31405</v>
      </c>
      <c r="J248" s="15">
        <f>IF(Source!Q48=0," ",Source!Q48)</f>
        <v>4101</v>
      </c>
      <c r="K248" s="15" t="str">
        <f>IF(Source!R48=0," ",Source!R48)</f>
        <v> </v>
      </c>
      <c r="L248" s="15">
        <f>IF(Source!P48=0," ",Source!P48)</f>
        <v>114864</v>
      </c>
      <c r="M248" s="16">
        <f>IF(Source!U48=0," ",ROUND(Source!U48,6))</f>
        <v>202.928529</v>
      </c>
      <c r="N248" s="16">
        <f>IF(Source!V48=0," ",ROUND(Source!V48,6))</f>
        <v>8.062775</v>
      </c>
      <c r="T248">
        <f>IF(Source!O48=0," ",Source!O48)</f>
        <v>150370</v>
      </c>
      <c r="U248">
        <v>114864</v>
      </c>
      <c r="V248">
        <f>IF(Source!S48=0," ",Source!S48)</f>
        <v>31405</v>
      </c>
      <c r="W248">
        <f>IF(Source!Q48=0," ",Source!Q48)</f>
        <v>4101</v>
      </c>
      <c r="X248" t="str">
        <f>IF(Source!R48=0," ",Source!R48)</f>
        <v> </v>
      </c>
      <c r="Y248">
        <f>IF(Source!U48=0," ",ROUND(Source!U48,6))</f>
        <v>202.928529</v>
      </c>
      <c r="Z248">
        <f>IF(Source!V48=0," ",ROUND(Source!V48,6))</f>
        <v>8.062775</v>
      </c>
    </row>
    <row r="249" spans="1:14" ht="15">
      <c r="A249" s="46"/>
      <c r="B249" s="46"/>
      <c r="C249" s="17" t="s">
        <v>257</v>
      </c>
      <c r="D249" s="18" t="str">
        <f>CONCATENATE(Source!AT48," %")</f>
        <v>68,85 %</v>
      </c>
      <c r="E249" s="18"/>
      <c r="F249" s="18"/>
      <c r="G249" s="18"/>
      <c r="H249" s="19">
        <f>Source!X48</f>
        <v>21622</v>
      </c>
      <c r="I249" s="46"/>
      <c r="J249" s="46"/>
      <c r="K249" s="46"/>
      <c r="L249" s="46"/>
      <c r="M249" s="46"/>
      <c r="N249" s="46"/>
    </row>
    <row r="250" spans="1:14" ht="15">
      <c r="A250" s="46"/>
      <c r="B250" s="46"/>
      <c r="C250" s="17" t="s">
        <v>259</v>
      </c>
      <c r="D250" s="18" t="str">
        <f>CONCATENATE(Source!AU48," %")</f>
        <v>47,6 %</v>
      </c>
      <c r="E250" s="18"/>
      <c r="F250" s="18"/>
      <c r="G250" s="18"/>
      <c r="H250" s="19">
        <f>Source!Y48</f>
        <v>14949</v>
      </c>
      <c r="I250" s="46"/>
      <c r="J250" s="46"/>
      <c r="K250" s="46"/>
      <c r="L250" s="46"/>
      <c r="M250" s="46"/>
      <c r="N250" s="46"/>
    </row>
    <row r="251" spans="1:14" ht="14.25">
      <c r="A251" s="47"/>
      <c r="B251" s="47"/>
      <c r="C251" s="20" t="s">
        <v>680</v>
      </c>
      <c r="D251" s="21"/>
      <c r="E251" s="21"/>
      <c r="F251" s="21"/>
      <c r="G251" s="21"/>
      <c r="H251" s="22">
        <f>SUMIF(Source!AA48:Source!AA48,"=26994759",Source!GM48:Source!GM48)</f>
        <v>186941</v>
      </c>
      <c r="I251" s="47"/>
      <c r="J251" s="47"/>
      <c r="K251" s="47"/>
      <c r="L251" s="47"/>
      <c r="M251" s="47"/>
      <c r="N251" s="47"/>
    </row>
    <row r="252" spans="1:14" ht="43.5">
      <c r="A252" s="23"/>
      <c r="B252" s="26" t="str">
        <f>SmtRes!I138</f>
        <v>1-1046</v>
      </c>
      <c r="C252" s="26" t="s">
        <v>736</v>
      </c>
      <c r="D252" s="24" t="str">
        <f>SmtRes!O138</f>
        <v>чел.-ч</v>
      </c>
      <c r="E252" s="24">
        <f>SmtRes!Y138</f>
        <v>4.4045</v>
      </c>
      <c r="F252" s="24">
        <f>SmtRes!Y138*Source!I48</f>
        <v>202.9285285</v>
      </c>
      <c r="G252" s="27">
        <f>(SmtRes!AA138+SmtRes!AB138+SmtRes!AD138)</f>
        <v>154.76</v>
      </c>
      <c r="H252" s="28">
        <f>(SmtRes!AA138*SmtRes!Y138*Source!I48+SmtRes!AB138*SmtRes!Y138*Source!I48+SmtRes!AD138*SmtRes!Y138*Source!I48)</f>
        <v>31405.219070659998</v>
      </c>
      <c r="I252" s="28">
        <f>SmtRes!AD138*SmtRes!Y138*Source!I48</f>
        <v>31405.219070659998</v>
      </c>
      <c r="J252" s="24"/>
      <c r="K252" s="24"/>
      <c r="L252" s="24"/>
      <c r="M252" s="24"/>
      <c r="N252" s="25"/>
    </row>
    <row r="253" spans="1:14" ht="28.5">
      <c r="A253" s="29"/>
      <c r="B253" s="32" t="str">
        <f>SmtRes!I139</f>
        <v>2</v>
      </c>
      <c r="C253" s="32" t="s">
        <v>687</v>
      </c>
      <c r="D253" s="30" t="str">
        <f>SmtRes!O139</f>
        <v>чел.час</v>
      </c>
      <c r="E253" s="30">
        <f>SmtRes!Y139</f>
        <v>0.17500000000000002</v>
      </c>
      <c r="F253" s="30">
        <f>SmtRes!Y139*Source!I48</f>
        <v>8.062775</v>
      </c>
      <c r="G253" s="33">
        <f>(SmtRes!AA139+SmtRes!AB139+SmtRes!AD139)</f>
        <v>0</v>
      </c>
      <c r="H253" s="34">
        <f>(SmtRes!AA139*SmtRes!Y139*Source!I48+SmtRes!AB139*SmtRes!Y139*Source!I48+SmtRes!AD139*SmtRes!Y139*Source!I48)</f>
        <v>0</v>
      </c>
      <c r="I253" s="30"/>
      <c r="J253" s="30"/>
      <c r="K253" s="34">
        <f>SmtRes!AC139*SmtRes!Y139*Source!I48</f>
        <v>0</v>
      </c>
      <c r="L253" s="30"/>
      <c r="M253" s="30"/>
      <c r="N253" s="31"/>
    </row>
    <row r="254" spans="1:14" ht="28.5">
      <c r="A254" s="29"/>
      <c r="B254" s="32" t="str">
        <f>SmtRes!I140</f>
        <v>030101</v>
      </c>
      <c r="C254" s="32" t="s">
        <v>721</v>
      </c>
      <c r="D254" s="30" t="str">
        <f>SmtRes!O140</f>
        <v>маш.-ч</v>
      </c>
      <c r="E254" s="30">
        <f>SmtRes!Y140</f>
        <v>0.0125</v>
      </c>
      <c r="F254" s="30">
        <f>SmtRes!Y140*Source!I48</f>
        <v>0.5759125</v>
      </c>
      <c r="G254" s="33">
        <f>(SmtRes!AA140+SmtRes!AB140+SmtRes!AD140)</f>
        <v>490.2</v>
      </c>
      <c r="H254" s="34">
        <f>(SmtRes!AA140*SmtRes!Y140*Source!I48+SmtRes!AB140*SmtRes!Y140*Source!I48+SmtRes!AD140*SmtRes!Y140*Source!I48)</f>
        <v>282.31230750000003</v>
      </c>
      <c r="I254" s="30"/>
      <c r="J254" s="34">
        <f>SmtRes!AB140*SmtRes!Y140*Source!I48</f>
        <v>282.31230750000003</v>
      </c>
      <c r="K254" s="34">
        <f>SmtRes!AC140*SmtRes!Y140*Source!I48</f>
        <v>0</v>
      </c>
      <c r="L254" s="30"/>
      <c r="M254" s="30"/>
      <c r="N254" s="31"/>
    </row>
    <row r="255" spans="1:14" ht="43.5">
      <c r="A255" s="29"/>
      <c r="B255" s="32" t="str">
        <f>SmtRes!I141</f>
        <v>030401</v>
      </c>
      <c r="C255" s="32" t="s">
        <v>737</v>
      </c>
      <c r="D255" s="30" t="str">
        <f>SmtRes!O141</f>
        <v>маш.-ч</v>
      </c>
      <c r="E255" s="30">
        <f>SmtRes!Y141</f>
        <v>0.025</v>
      </c>
      <c r="F255" s="30">
        <f>SmtRes!Y141*Source!I48</f>
        <v>1.151825</v>
      </c>
      <c r="G255" s="33">
        <f>(SmtRes!AA141+SmtRes!AB141+SmtRes!AD141)</f>
        <v>5.76</v>
      </c>
      <c r="H255" s="34">
        <f>(SmtRes!AA141*SmtRes!Y141*Source!I48+SmtRes!AB141*SmtRes!Y141*Source!I48+SmtRes!AD141*SmtRes!Y141*Source!I48)</f>
        <v>6.634512</v>
      </c>
      <c r="I255" s="30"/>
      <c r="J255" s="34">
        <f>SmtRes!AB141*SmtRes!Y141*Source!I48</f>
        <v>6.634512</v>
      </c>
      <c r="K255" s="34">
        <f>SmtRes!AC141*SmtRes!Y141*Source!I48</f>
        <v>0</v>
      </c>
      <c r="L255" s="30"/>
      <c r="M255" s="30"/>
      <c r="N255" s="31"/>
    </row>
    <row r="256" spans="1:14" ht="43.5">
      <c r="A256" s="29"/>
      <c r="B256" s="32" t="str">
        <f>SmtRes!I142</f>
        <v>110901</v>
      </c>
      <c r="C256" s="32" t="s">
        <v>722</v>
      </c>
      <c r="D256" s="30" t="str">
        <f>SmtRes!O142</f>
        <v>маш.-ч</v>
      </c>
      <c r="E256" s="30">
        <f>SmtRes!Y142</f>
        <v>0.05</v>
      </c>
      <c r="F256" s="30">
        <f>SmtRes!Y142*Source!I48</f>
        <v>2.30365</v>
      </c>
      <c r="G256" s="33">
        <f>(SmtRes!AA142+SmtRes!AB142+SmtRes!AD142)</f>
        <v>143.88</v>
      </c>
      <c r="H256" s="34">
        <f>(SmtRes!AA142*SmtRes!Y142*Source!I48+SmtRes!AB142*SmtRes!Y142*Source!I48+SmtRes!AD142*SmtRes!Y142*Source!I48)</f>
        <v>331.449162</v>
      </c>
      <c r="I256" s="30"/>
      <c r="J256" s="34">
        <f>SmtRes!AB142*SmtRes!Y142*Source!I48</f>
        <v>331.449162</v>
      </c>
      <c r="K256" s="34">
        <f>SmtRes!AC142*SmtRes!Y142*Source!I48</f>
        <v>0</v>
      </c>
      <c r="L256" s="30"/>
      <c r="M256" s="30"/>
      <c r="N256" s="31"/>
    </row>
    <row r="257" spans="1:14" ht="28.5">
      <c r="A257" s="29"/>
      <c r="B257" s="32" t="str">
        <f>SmtRes!I143</f>
        <v>331400</v>
      </c>
      <c r="C257" s="32" t="s">
        <v>740</v>
      </c>
      <c r="D257" s="30" t="str">
        <f>SmtRes!O143</f>
        <v>маш.-ч</v>
      </c>
      <c r="E257" s="30">
        <f>SmtRes!Y143</f>
        <v>0.11249999999999999</v>
      </c>
      <c r="F257" s="30">
        <f>SmtRes!Y143*Source!I48</f>
        <v>5.1832125</v>
      </c>
      <c r="G257" s="33">
        <f>(SmtRes!AA143+SmtRes!AB143+SmtRes!AD143)</f>
        <v>210.6</v>
      </c>
      <c r="H257" s="34">
        <f>(SmtRes!AA143*SmtRes!Y143*Source!I48+SmtRes!AB143*SmtRes!Y143*Source!I48+SmtRes!AD143*SmtRes!Y143*Source!I48)</f>
        <v>1091.5845524999997</v>
      </c>
      <c r="I257" s="30"/>
      <c r="J257" s="34">
        <f>SmtRes!AB143*SmtRes!Y143*Source!I48</f>
        <v>1091.5845524999997</v>
      </c>
      <c r="K257" s="34">
        <f>SmtRes!AC143*SmtRes!Y143*Source!I48</f>
        <v>0</v>
      </c>
      <c r="L257" s="30"/>
      <c r="M257" s="30"/>
      <c r="N257" s="31"/>
    </row>
    <row r="258" spans="1:14" ht="43.5">
      <c r="A258" s="29"/>
      <c r="B258" s="32" t="str">
        <f>SmtRes!I144</f>
        <v>400001</v>
      </c>
      <c r="C258" s="32" t="s">
        <v>692</v>
      </c>
      <c r="D258" s="30" t="str">
        <f>SmtRes!O144</f>
        <v>маш.-ч</v>
      </c>
      <c r="E258" s="30">
        <f>SmtRes!Y144</f>
        <v>0.075</v>
      </c>
      <c r="F258" s="30">
        <f>SmtRes!Y144*Source!I48</f>
        <v>3.455475</v>
      </c>
      <c r="G258" s="33">
        <f>(SmtRes!AA144+SmtRes!AB144+SmtRes!AD144)</f>
        <v>691.3</v>
      </c>
      <c r="H258" s="34">
        <f>(SmtRes!AA144*SmtRes!Y144*Source!I48+SmtRes!AB144*SmtRes!Y144*Source!I48+SmtRes!AD144*SmtRes!Y144*Source!I48)</f>
        <v>2388.7698674999997</v>
      </c>
      <c r="I258" s="30"/>
      <c r="J258" s="34">
        <f>SmtRes!AB144*SmtRes!Y144*Source!I48</f>
        <v>2388.7698674999997</v>
      </c>
      <c r="K258" s="34">
        <f>SmtRes!AC144*SmtRes!Y144*Source!I48</f>
        <v>0</v>
      </c>
      <c r="L258" s="30"/>
      <c r="M258" s="30"/>
      <c r="N258" s="31"/>
    </row>
    <row r="259" spans="1:14" ht="30">
      <c r="A259" s="29"/>
      <c r="B259" s="32" t="str">
        <f>SmtRes!I145</f>
        <v>101-2313</v>
      </c>
      <c r="C259" s="32" t="str">
        <f>SmtRes!K145</f>
        <v>Натрий кремнефтористый технический, сорт I</v>
      </c>
      <c r="D259" s="30" t="str">
        <f>SmtRes!O145</f>
        <v>т</v>
      </c>
      <c r="E259" s="30">
        <f>SmtRes!Y145</f>
        <v>0.00127</v>
      </c>
      <c r="F259" s="30">
        <f>SmtRes!Y145*Source!I48</f>
        <v>0.05851271</v>
      </c>
      <c r="G259" s="33">
        <f>(SmtRes!AA145+SmtRes!AB145+SmtRes!AD145)</f>
        <v>49868.65</v>
      </c>
      <c r="H259" s="34">
        <f>(SmtRes!AA145*SmtRes!Y145*Source!I48+SmtRes!AB145*SmtRes!Y145*Source!I48+SmtRes!AD145*SmtRes!Y145*Source!I48)</f>
        <v>2917.9498555415003</v>
      </c>
      <c r="I259" s="30"/>
      <c r="J259" s="30"/>
      <c r="K259" s="30"/>
      <c r="L259" s="34">
        <f>SmtRes!AA145*SmtRes!Y145*Source!I48</f>
        <v>2917.9498555415003</v>
      </c>
      <c r="M259" s="30"/>
      <c r="N259" s="31"/>
    </row>
    <row r="260" spans="1:14" ht="30">
      <c r="A260" s="29"/>
      <c r="B260" s="32" t="str">
        <f>SmtRes!I146</f>
        <v>101-2319</v>
      </c>
      <c r="C260" s="32" t="str">
        <f>SmtRes!K146</f>
        <v>Стекло натриевое жидкое каустическое</v>
      </c>
      <c r="D260" s="30" t="str">
        <f>SmtRes!O146</f>
        <v>т</v>
      </c>
      <c r="E260" s="30">
        <f>SmtRes!Y146</f>
        <v>0.00847</v>
      </c>
      <c r="F260" s="30">
        <f>SmtRes!Y146*Source!I48</f>
        <v>0.39023831000000003</v>
      </c>
      <c r="G260" s="33">
        <f>(SmtRes!AA146+SmtRes!AB146+SmtRes!AD146)</f>
        <v>37674</v>
      </c>
      <c r="H260" s="34">
        <f>(SmtRes!AA146*SmtRes!Y146*Source!I48+SmtRes!AB146*SmtRes!Y146*Source!I48+SmtRes!AD146*SmtRes!Y146*Source!I48)</f>
        <v>14701.838090939998</v>
      </c>
      <c r="I260" s="30"/>
      <c r="J260" s="30"/>
      <c r="K260" s="30"/>
      <c r="L260" s="34">
        <f>SmtRes!AA146*SmtRes!Y146*Source!I48</f>
        <v>14701.838090939998</v>
      </c>
      <c r="M260" s="30"/>
      <c r="N260" s="31"/>
    </row>
    <row r="261" spans="1:14" ht="45">
      <c r="A261" s="29"/>
      <c r="B261" s="32" t="str">
        <f>SmtRes!I147</f>
        <v>113-0132</v>
      </c>
      <c r="C261" s="32" t="str">
        <f>SmtRes!K147</f>
        <v>Плитки кислотоупорные шамотные квадратные и прямоугольные толщиной 35 мм</v>
      </c>
      <c r="D261" s="30" t="str">
        <f>SmtRes!O147</f>
        <v>м2</v>
      </c>
      <c r="E261" s="30">
        <f>SmtRes!Y147</f>
        <v>1.02</v>
      </c>
      <c r="F261" s="30">
        <f>SmtRes!Y147*Source!I48</f>
        <v>46.994460000000004</v>
      </c>
      <c r="G261" s="33">
        <f>(SmtRes!AA147+SmtRes!AB147+SmtRes!AD147)</f>
        <v>1758</v>
      </c>
      <c r="H261" s="34">
        <f>(SmtRes!AA147*SmtRes!Y147*Source!I48+SmtRes!AB147*SmtRes!Y147*Source!I48+SmtRes!AD147*SmtRes!Y147*Source!I48)</f>
        <v>82616.26068</v>
      </c>
      <c r="I261" s="30"/>
      <c r="J261" s="30"/>
      <c r="K261" s="30"/>
      <c r="L261" s="34">
        <f>SmtRes!AA147*SmtRes!Y147*Source!I48</f>
        <v>82616.26068</v>
      </c>
      <c r="M261" s="30"/>
      <c r="N261" s="31"/>
    </row>
    <row r="262" spans="1:14" ht="30">
      <c r="A262" s="35"/>
      <c r="B262" s="36" t="str">
        <f>SmtRes!I148</f>
        <v>113-0310</v>
      </c>
      <c r="C262" s="36" t="str">
        <f>SmtRes!K148</f>
        <v>Порошок № 2 для кислотоупорной замазки</v>
      </c>
      <c r="D262" s="37" t="str">
        <f>SmtRes!O148</f>
        <v>т</v>
      </c>
      <c r="E262" s="37">
        <f>SmtRes!Y148</f>
        <v>0.0189</v>
      </c>
      <c r="F262" s="37">
        <f>SmtRes!Y148*Source!I48</f>
        <v>0.8707797</v>
      </c>
      <c r="G262" s="38">
        <f>(SmtRes!AA148+SmtRes!AB148+SmtRes!AD148)</f>
        <v>16798.8</v>
      </c>
      <c r="H262" s="39">
        <f>(SmtRes!AA148*SmtRes!Y148*Source!I48+SmtRes!AB148*SmtRes!Y148*Source!I48+SmtRes!AD148*SmtRes!Y148*Source!I48)</f>
        <v>14628.05402436</v>
      </c>
      <c r="I262" s="37"/>
      <c r="J262" s="37"/>
      <c r="K262" s="37"/>
      <c r="L262" s="39">
        <f>SmtRes!AA148*SmtRes!Y148*Source!I48</f>
        <v>14628.05402436</v>
      </c>
      <c r="M262" s="37"/>
      <c r="N262" s="40"/>
    </row>
    <row r="263" spans="1:26" ht="96.75">
      <c r="A263" s="11" t="str">
        <f>IF(Source!E49&lt;&gt;"",Source!E49,"")</f>
        <v>26</v>
      </c>
      <c r="B263" s="11" t="str">
        <f>IF(Source!F49&lt;&gt;"",Source!F49,"")</f>
        <v>13-08-005-1</v>
      </c>
      <c r="C263" s="11" t="s">
        <v>741</v>
      </c>
      <c r="D263" s="12" t="str">
        <f>IF(Source!H49&lt;&gt;"",Source!H49,"")</f>
        <v>1 м2 разделываемой поверхности</v>
      </c>
      <c r="E263" s="12" t="str">
        <f>IF(Source!J49=0," ",Source!J49)</f>
        <v> </v>
      </c>
      <c r="F263" s="13">
        <f>Source!I49</f>
        <v>46.073</v>
      </c>
      <c r="G263" s="14">
        <f>IF(Source!AB49=0," ",Source!AB49)</f>
        <v>709.97</v>
      </c>
      <c r="H263" s="15">
        <f>IF(Source!O49=0," ",Source!O49)</f>
        <v>32710</v>
      </c>
      <c r="I263" s="15">
        <f>IF(Source!S49=0," ",Source!S49)</f>
        <v>17383</v>
      </c>
      <c r="J263" s="15">
        <f>IF(Source!Q49=0," ",Source!Q49)</f>
        <v>1012</v>
      </c>
      <c r="K263" s="15" t="str">
        <f>IF(Source!R49=0," ",Source!R49)</f>
        <v> </v>
      </c>
      <c r="L263" s="15">
        <f>IF(Source!P49=0," ",Source!P49)</f>
        <v>14315</v>
      </c>
      <c r="M263" s="16">
        <f>IF(Source!U49=0," ",ROUND(Source!U49,6))</f>
        <v>112.325974</v>
      </c>
      <c r="N263" s="16">
        <f>IF(Source!V49=0," ",ROUND(Source!V49,6))</f>
        <v>2.879563</v>
      </c>
      <c r="T263">
        <f>IF(Source!O49=0," ",Source!O49)</f>
        <v>32710</v>
      </c>
      <c r="U263">
        <v>14315</v>
      </c>
      <c r="V263">
        <f>IF(Source!S49=0," ",Source!S49)</f>
        <v>17383</v>
      </c>
      <c r="W263">
        <f>IF(Source!Q49=0," ",Source!Q49)</f>
        <v>1012</v>
      </c>
      <c r="X263" t="str">
        <f>IF(Source!R49=0," ",Source!R49)</f>
        <v> </v>
      </c>
      <c r="Y263">
        <f>IF(Source!U49=0," ",ROUND(Source!U49,6))</f>
        <v>112.325974</v>
      </c>
      <c r="Z263">
        <f>IF(Source!V49=0," ",ROUND(Source!V49,6))</f>
        <v>2.879563</v>
      </c>
    </row>
    <row r="264" spans="1:14" ht="15">
      <c r="A264" s="46"/>
      <c r="B264" s="46"/>
      <c r="C264" s="17" t="s">
        <v>257</v>
      </c>
      <c r="D264" s="18" t="str">
        <f>CONCATENATE(Source!AT49," %")</f>
        <v>68,85 %</v>
      </c>
      <c r="E264" s="18"/>
      <c r="F264" s="18"/>
      <c r="G264" s="18"/>
      <c r="H264" s="19">
        <f>Source!X49</f>
        <v>11968</v>
      </c>
      <c r="I264" s="46"/>
      <c r="J264" s="46"/>
      <c r="K264" s="46"/>
      <c r="L264" s="46"/>
      <c r="M264" s="46"/>
      <c r="N264" s="46"/>
    </row>
    <row r="265" spans="1:14" ht="15">
      <c r="A265" s="46"/>
      <c r="B265" s="46"/>
      <c r="C265" s="17" t="s">
        <v>259</v>
      </c>
      <c r="D265" s="18" t="str">
        <f>CONCATENATE(Source!AU49," %")</f>
        <v>47,6 %</v>
      </c>
      <c r="E265" s="18"/>
      <c r="F265" s="18"/>
      <c r="G265" s="18"/>
      <c r="H265" s="19">
        <f>Source!Y49</f>
        <v>8274</v>
      </c>
      <c r="I265" s="46"/>
      <c r="J265" s="46"/>
      <c r="K265" s="46"/>
      <c r="L265" s="46"/>
      <c r="M265" s="46"/>
      <c r="N265" s="46"/>
    </row>
    <row r="266" spans="1:14" ht="14.25">
      <c r="A266" s="47"/>
      <c r="B266" s="47"/>
      <c r="C266" s="20" t="s">
        <v>680</v>
      </c>
      <c r="D266" s="21"/>
      <c r="E266" s="21"/>
      <c r="F266" s="21"/>
      <c r="G266" s="21"/>
      <c r="H266" s="22">
        <f>SUMIF(Source!AA49:Source!AA49,"=26994759",Source!GM49:Source!GM49)</f>
        <v>52952</v>
      </c>
      <c r="I266" s="47"/>
      <c r="J266" s="47"/>
      <c r="K266" s="47"/>
      <c r="L266" s="47"/>
      <c r="M266" s="47"/>
      <c r="N266" s="47"/>
    </row>
    <row r="267" spans="1:14" ht="43.5">
      <c r="A267" s="23"/>
      <c r="B267" s="26" t="str">
        <f>SmtRes!I149</f>
        <v>1-1046</v>
      </c>
      <c r="C267" s="26" t="s">
        <v>736</v>
      </c>
      <c r="D267" s="24" t="str">
        <f>SmtRes!O149</f>
        <v>чел.-ч</v>
      </c>
      <c r="E267" s="24">
        <f>SmtRes!Y149</f>
        <v>2.4379999999999997</v>
      </c>
      <c r="F267" s="24">
        <f>SmtRes!Y149*Source!I49</f>
        <v>112.32597399999999</v>
      </c>
      <c r="G267" s="27">
        <f>(SmtRes!AA149+SmtRes!AB149+SmtRes!AD149)</f>
        <v>154.76</v>
      </c>
      <c r="H267" s="28">
        <f>(SmtRes!AA149*SmtRes!Y149*Source!I49+SmtRes!AB149*SmtRes!Y149*Source!I49+SmtRes!AD149*SmtRes!Y149*Source!I49)</f>
        <v>17383.567736239995</v>
      </c>
      <c r="I267" s="28">
        <f>SmtRes!AD149*SmtRes!Y149*Source!I49</f>
        <v>17383.567736239995</v>
      </c>
      <c r="J267" s="24"/>
      <c r="K267" s="24"/>
      <c r="L267" s="24"/>
      <c r="M267" s="24"/>
      <c r="N267" s="25"/>
    </row>
    <row r="268" spans="1:14" ht="28.5">
      <c r="A268" s="29"/>
      <c r="B268" s="32" t="str">
        <f>SmtRes!I150</f>
        <v>2</v>
      </c>
      <c r="C268" s="32" t="s">
        <v>687</v>
      </c>
      <c r="D268" s="30" t="str">
        <f>SmtRes!O150</f>
        <v>чел.час</v>
      </c>
      <c r="E268" s="30">
        <f>SmtRes!Y150</f>
        <v>0.0625</v>
      </c>
      <c r="F268" s="30">
        <f>SmtRes!Y150*Source!I49</f>
        <v>2.8795625</v>
      </c>
      <c r="G268" s="33">
        <f>(SmtRes!AA150+SmtRes!AB150+SmtRes!AD150)</f>
        <v>0</v>
      </c>
      <c r="H268" s="34">
        <f>(SmtRes!AA150*SmtRes!Y150*Source!I49+SmtRes!AB150*SmtRes!Y150*Source!I49+SmtRes!AD150*SmtRes!Y150*Source!I49)</f>
        <v>0</v>
      </c>
      <c r="I268" s="30"/>
      <c r="J268" s="30"/>
      <c r="K268" s="34">
        <f>SmtRes!AC150*SmtRes!Y150*Source!I49</f>
        <v>0</v>
      </c>
      <c r="L268" s="30"/>
      <c r="M268" s="30"/>
      <c r="N268" s="31"/>
    </row>
    <row r="269" spans="1:14" ht="28.5">
      <c r="A269" s="29"/>
      <c r="B269" s="32" t="str">
        <f>SmtRes!I151</f>
        <v>030101</v>
      </c>
      <c r="C269" s="32" t="s">
        <v>721</v>
      </c>
      <c r="D269" s="30" t="str">
        <f>SmtRes!O151</f>
        <v>маш.-ч</v>
      </c>
      <c r="E269" s="30">
        <f>SmtRes!Y151</f>
        <v>0.0125</v>
      </c>
      <c r="F269" s="30">
        <f>SmtRes!Y151*Source!I49</f>
        <v>0.5759125</v>
      </c>
      <c r="G269" s="33">
        <f>(SmtRes!AA151+SmtRes!AB151+SmtRes!AD151)</f>
        <v>490.2</v>
      </c>
      <c r="H269" s="34">
        <f>(SmtRes!AA151*SmtRes!Y151*Source!I49+SmtRes!AB151*SmtRes!Y151*Source!I49+SmtRes!AD151*SmtRes!Y151*Source!I49)</f>
        <v>282.31230750000003</v>
      </c>
      <c r="I269" s="30"/>
      <c r="J269" s="34">
        <f>SmtRes!AB151*SmtRes!Y151*Source!I49</f>
        <v>282.31230750000003</v>
      </c>
      <c r="K269" s="34">
        <f>SmtRes!AC151*SmtRes!Y151*Source!I49</f>
        <v>0</v>
      </c>
      <c r="L269" s="30"/>
      <c r="M269" s="30"/>
      <c r="N269" s="31"/>
    </row>
    <row r="270" spans="1:14" ht="43.5">
      <c r="A270" s="29"/>
      <c r="B270" s="32" t="str">
        <f>SmtRes!I152</f>
        <v>110901</v>
      </c>
      <c r="C270" s="32" t="s">
        <v>722</v>
      </c>
      <c r="D270" s="30" t="str">
        <f>SmtRes!O152</f>
        <v>маш.-ч</v>
      </c>
      <c r="E270" s="30">
        <f>SmtRes!Y152</f>
        <v>0.05</v>
      </c>
      <c r="F270" s="30">
        <f>SmtRes!Y152*Source!I49</f>
        <v>2.30365</v>
      </c>
      <c r="G270" s="33">
        <f>(SmtRes!AA152+SmtRes!AB152+SmtRes!AD152)</f>
        <v>143.88</v>
      </c>
      <c r="H270" s="34">
        <f>(SmtRes!AA152*SmtRes!Y152*Source!I49+SmtRes!AB152*SmtRes!Y152*Source!I49+SmtRes!AD152*SmtRes!Y152*Source!I49)</f>
        <v>331.449162</v>
      </c>
      <c r="I270" s="30"/>
      <c r="J270" s="34">
        <f>SmtRes!AB152*SmtRes!Y152*Source!I49</f>
        <v>331.449162</v>
      </c>
      <c r="K270" s="34">
        <f>SmtRes!AC152*SmtRes!Y152*Source!I49</f>
        <v>0</v>
      </c>
      <c r="L270" s="30"/>
      <c r="M270" s="30"/>
      <c r="N270" s="31"/>
    </row>
    <row r="271" spans="1:14" ht="43.5">
      <c r="A271" s="29"/>
      <c r="B271" s="32" t="str">
        <f>SmtRes!I153</f>
        <v>400001</v>
      </c>
      <c r="C271" s="32" t="s">
        <v>692</v>
      </c>
      <c r="D271" s="30" t="str">
        <f>SmtRes!O153</f>
        <v>маш.-ч</v>
      </c>
      <c r="E271" s="30">
        <f>SmtRes!Y153</f>
        <v>0.0125</v>
      </c>
      <c r="F271" s="30">
        <f>SmtRes!Y153*Source!I49</f>
        <v>0.5759125</v>
      </c>
      <c r="G271" s="33">
        <f>(SmtRes!AA153+SmtRes!AB153+SmtRes!AD153)</f>
        <v>691.3</v>
      </c>
      <c r="H271" s="34">
        <f>(SmtRes!AA153*SmtRes!Y153*Source!I49+SmtRes!AB153*SmtRes!Y153*Source!I49+SmtRes!AD153*SmtRes!Y153*Source!I49)</f>
        <v>398.12831124999997</v>
      </c>
      <c r="I271" s="30"/>
      <c r="J271" s="34">
        <f>SmtRes!AB153*SmtRes!Y153*Source!I49</f>
        <v>398.12831124999997</v>
      </c>
      <c r="K271" s="34">
        <f>SmtRes!AC153*SmtRes!Y153*Source!I49</f>
        <v>0</v>
      </c>
      <c r="L271" s="30"/>
      <c r="M271" s="30"/>
      <c r="N271" s="31"/>
    </row>
    <row r="272" spans="1:14" ht="15">
      <c r="A272" s="29"/>
      <c r="B272" s="32" t="str">
        <f>SmtRes!I154</f>
        <v>113-0003</v>
      </c>
      <c r="C272" s="32" t="str">
        <f>SmtRes!K154</f>
        <v>Ацетон технический, сорт I</v>
      </c>
      <c r="D272" s="30" t="str">
        <f>SmtRes!O154</f>
        <v>т</v>
      </c>
      <c r="E272" s="30">
        <f>SmtRes!Y154</f>
        <v>7E-05</v>
      </c>
      <c r="F272" s="30">
        <f>SmtRes!Y154*Source!I49</f>
        <v>0.0032251099999999998</v>
      </c>
      <c r="G272" s="33">
        <f>(SmtRes!AA154+SmtRes!AB154+SmtRes!AD154)</f>
        <v>132200</v>
      </c>
      <c r="H272" s="34">
        <f>(SmtRes!AA154*SmtRes!Y154*Source!I49+SmtRes!AB154*SmtRes!Y154*Source!I49+SmtRes!AD154*SmtRes!Y154*Source!I49)</f>
        <v>426.359542</v>
      </c>
      <c r="I272" s="30"/>
      <c r="J272" s="30"/>
      <c r="K272" s="30"/>
      <c r="L272" s="34">
        <f>SmtRes!AA154*SmtRes!Y154*Source!I49</f>
        <v>426.359542</v>
      </c>
      <c r="M272" s="30"/>
      <c r="N272" s="31"/>
    </row>
    <row r="273" spans="1:14" ht="30">
      <c r="A273" s="29"/>
      <c r="B273" s="32" t="str">
        <f>SmtRes!I155</f>
        <v>113-0152</v>
      </c>
      <c r="C273" s="32" t="str">
        <f>SmtRes!K155</f>
        <v>Полиэтиленполиамин (ПЭПА) технический, марка А</v>
      </c>
      <c r="D273" s="30" t="str">
        <f>SmtRes!O155</f>
        <v>т</v>
      </c>
      <c r="E273" s="30">
        <f>SmtRes!Y155</f>
        <v>5E-05</v>
      </c>
      <c r="F273" s="30">
        <f>SmtRes!Y155*Source!I49</f>
        <v>0.00230365</v>
      </c>
      <c r="G273" s="33">
        <f>(SmtRes!AA155+SmtRes!AB155+SmtRes!AD155)</f>
        <v>658043.5</v>
      </c>
      <c r="H273" s="34">
        <f>(SmtRes!AA155*SmtRes!Y155*Source!I49+SmtRes!AB155*SmtRes!Y155*Source!I49+SmtRes!AD155*SmtRes!Y155*Source!I49)</f>
        <v>1515.901908775</v>
      </c>
      <c r="I273" s="30"/>
      <c r="J273" s="30"/>
      <c r="K273" s="30"/>
      <c r="L273" s="34">
        <f>SmtRes!AA155*SmtRes!Y155*Source!I49</f>
        <v>1515.901908775</v>
      </c>
      <c r="M273" s="30"/>
      <c r="N273" s="31"/>
    </row>
    <row r="274" spans="1:14" ht="15">
      <c r="A274" s="29"/>
      <c r="B274" s="32" t="str">
        <f>SmtRes!I156</f>
        <v>113-0163</v>
      </c>
      <c r="C274" s="32" t="str">
        <f>SmtRes!K156</f>
        <v>Смола эпоксидная марки ЭД-20</v>
      </c>
      <c r="D274" s="30" t="str">
        <f>SmtRes!O156</f>
        <v>т</v>
      </c>
      <c r="E274" s="30">
        <f>SmtRes!Y156</f>
        <v>0.0005</v>
      </c>
      <c r="F274" s="30">
        <f>SmtRes!Y156*Source!I49</f>
        <v>0.0230365</v>
      </c>
      <c r="G274" s="33">
        <f>(SmtRes!AA156+SmtRes!AB156+SmtRes!AD156)</f>
        <v>498000</v>
      </c>
      <c r="H274" s="34">
        <f>(SmtRes!AA156*SmtRes!Y156*Source!I49+SmtRes!AB156*SmtRes!Y156*Source!I49+SmtRes!AD156*SmtRes!Y156*Source!I49)</f>
        <v>11472.177</v>
      </c>
      <c r="I274" s="30"/>
      <c r="J274" s="30"/>
      <c r="K274" s="30"/>
      <c r="L274" s="34">
        <f>SmtRes!AA156*SmtRes!Y156*Source!I49</f>
        <v>11472.177</v>
      </c>
      <c r="M274" s="30"/>
      <c r="N274" s="31"/>
    </row>
    <row r="275" spans="1:14" ht="30">
      <c r="A275" s="29"/>
      <c r="B275" s="32" t="str">
        <f>SmtRes!I157</f>
        <v>113-0310</v>
      </c>
      <c r="C275" s="32" t="str">
        <f>SmtRes!K157</f>
        <v>Порошок № 2 для кислотоупорной замазки</v>
      </c>
      <c r="D275" s="30" t="str">
        <f>SmtRes!O157</f>
        <v>т</v>
      </c>
      <c r="E275" s="30">
        <f>SmtRes!Y157</f>
        <v>0.00012</v>
      </c>
      <c r="F275" s="30">
        <f>SmtRes!Y157*Source!I49</f>
        <v>0.005528760000000001</v>
      </c>
      <c r="G275" s="33">
        <f>(SmtRes!AA157+SmtRes!AB157+SmtRes!AD157)</f>
        <v>16798.8</v>
      </c>
      <c r="H275" s="34">
        <f>(SmtRes!AA157*SmtRes!Y157*Source!I49+SmtRes!AB157*SmtRes!Y157*Source!I49+SmtRes!AD157*SmtRes!Y157*Source!I49)</f>
        <v>92.87653348799999</v>
      </c>
      <c r="I275" s="30"/>
      <c r="J275" s="30"/>
      <c r="K275" s="30"/>
      <c r="L275" s="34">
        <f>SmtRes!AA157*SmtRes!Y157*Source!I49</f>
        <v>92.87653348799999</v>
      </c>
      <c r="M275" s="30"/>
      <c r="N275" s="31"/>
    </row>
    <row r="276" spans="1:14" ht="15">
      <c r="A276" s="35"/>
      <c r="B276" s="36" t="str">
        <f>SmtRes!I158</f>
        <v>113-0338</v>
      </c>
      <c r="C276" s="36" t="str">
        <f>SmtRes!K158</f>
        <v>Дибутилфталат технический, сорт I</v>
      </c>
      <c r="D276" s="37" t="str">
        <f>SmtRes!O158</f>
        <v>т</v>
      </c>
      <c r="E276" s="37">
        <f>SmtRes!Y158</f>
        <v>5E-05</v>
      </c>
      <c r="F276" s="37">
        <f>SmtRes!Y158*Source!I49</f>
        <v>0.00230365</v>
      </c>
      <c r="G276" s="38">
        <f>(SmtRes!AA158+SmtRes!AB158+SmtRes!AD158)</f>
        <v>350700.9</v>
      </c>
      <c r="H276" s="39">
        <f>(SmtRes!AA158*SmtRes!Y158*Source!I49+SmtRes!AB158*SmtRes!Y158*Source!I49+SmtRes!AD158*SmtRes!Y158*Source!I49)</f>
        <v>807.8921282850001</v>
      </c>
      <c r="I276" s="37"/>
      <c r="J276" s="37"/>
      <c r="K276" s="37"/>
      <c r="L276" s="39">
        <f>SmtRes!AA158*SmtRes!Y158*Source!I49</f>
        <v>807.8921282850001</v>
      </c>
      <c r="M276" s="37"/>
      <c r="N276" s="40"/>
    </row>
    <row r="277" spans="1:26" ht="41.25">
      <c r="A277" s="11" t="str">
        <f>IF(Source!E50&lt;&gt;"",Source!E50,"")</f>
        <v>27</v>
      </c>
      <c r="B277" s="11" t="str">
        <f>IF(Source!F50&lt;&gt;"",Source!F50,"")</f>
        <v>46-04-012-3</v>
      </c>
      <c r="C277" s="11" t="s">
        <v>742</v>
      </c>
      <c r="D277" s="12" t="str">
        <f>IF(Source!H50&lt;&gt;"",Source!H50,"")</f>
        <v>100 м2</v>
      </c>
      <c r="E277" s="12" t="str">
        <f>IF(Source!J50=0," ",Source!J50)</f>
        <v> </v>
      </c>
      <c r="F277" s="13">
        <f>Source!I50</f>
        <v>0.073</v>
      </c>
      <c r="G277" s="14">
        <f>IF(Source!AB50=0," ",Source!AB50)</f>
        <v>14301.27</v>
      </c>
      <c r="H277" s="15">
        <f>IF(Source!O50=0," ",Source!O50)</f>
        <v>1044</v>
      </c>
      <c r="I277" s="15">
        <f>IF(Source!S50=0," ",Source!S50)</f>
        <v>905</v>
      </c>
      <c r="J277" s="15">
        <f>IF(Source!Q50=0," ",Source!Q50)</f>
        <v>139</v>
      </c>
      <c r="K277" s="15" t="str">
        <f>IF(Source!R50=0," ",Source!R50)</f>
        <v> </v>
      </c>
      <c r="L277" s="15" t="str">
        <f>IF(Source!P50=0," ",Source!P50)</f>
        <v> </v>
      </c>
      <c r="M277" s="16">
        <f>IF(Source!U50=0," ",ROUND(Source!U50,6))</f>
        <v>7.58543</v>
      </c>
      <c r="N277" s="16">
        <f>IF(Source!V50=0," ",ROUND(Source!V50,6))</f>
        <v>0.56502</v>
      </c>
      <c r="T277">
        <f>IF(Source!O50=0," ",Source!O50)</f>
        <v>1044</v>
      </c>
      <c r="U277" t="s">
        <v>724</v>
      </c>
      <c r="V277">
        <f>IF(Source!S50=0," ",Source!S50)</f>
        <v>905</v>
      </c>
      <c r="W277">
        <f>IF(Source!Q50=0," ",Source!Q50)</f>
        <v>139</v>
      </c>
      <c r="X277" t="str">
        <f>IF(Source!R50=0," ",Source!R50)</f>
        <v> </v>
      </c>
      <c r="Y277">
        <f>IF(Source!U50=0," ",ROUND(Source!U50,6))</f>
        <v>7.58543</v>
      </c>
      <c r="Z277">
        <f>IF(Source!V50=0," ",ROUND(Source!V50,6))</f>
        <v>0.56502</v>
      </c>
    </row>
    <row r="278" spans="1:14" ht="15">
      <c r="A278" s="46"/>
      <c r="B278" s="46"/>
      <c r="C278" s="17" t="s">
        <v>257</v>
      </c>
      <c r="D278" s="18" t="str">
        <f>CONCATENATE(Source!AT50," %")</f>
        <v>93,5 %</v>
      </c>
      <c r="E278" s="18"/>
      <c r="F278" s="18"/>
      <c r="G278" s="18"/>
      <c r="H278" s="19">
        <f>Source!X50</f>
        <v>846</v>
      </c>
      <c r="I278" s="46"/>
      <c r="J278" s="46"/>
      <c r="K278" s="46"/>
      <c r="L278" s="46"/>
      <c r="M278" s="46"/>
      <c r="N278" s="46"/>
    </row>
    <row r="279" spans="1:14" ht="15">
      <c r="A279" s="46"/>
      <c r="B279" s="46"/>
      <c r="C279" s="17" t="s">
        <v>259</v>
      </c>
      <c r="D279" s="18" t="str">
        <f>CONCATENATE(Source!AU50," %")</f>
        <v>56 %</v>
      </c>
      <c r="E279" s="18"/>
      <c r="F279" s="18"/>
      <c r="G279" s="18"/>
      <c r="H279" s="19">
        <f>Source!Y50</f>
        <v>507</v>
      </c>
      <c r="I279" s="46"/>
      <c r="J279" s="46"/>
      <c r="K279" s="46"/>
      <c r="L279" s="46"/>
      <c r="M279" s="46"/>
      <c r="N279" s="46"/>
    </row>
    <row r="280" spans="1:14" ht="14.25">
      <c r="A280" s="47"/>
      <c r="B280" s="47"/>
      <c r="C280" s="20" t="s">
        <v>680</v>
      </c>
      <c r="D280" s="21"/>
      <c r="E280" s="21"/>
      <c r="F280" s="21"/>
      <c r="G280" s="21"/>
      <c r="H280" s="22">
        <f>SUMIF(Source!AA50:Source!AA50,"=26994759",Source!GM50:Source!GM50)</f>
        <v>2397</v>
      </c>
      <c r="I280" s="47"/>
      <c r="J280" s="47"/>
      <c r="K280" s="47"/>
      <c r="L280" s="47"/>
      <c r="M280" s="47"/>
      <c r="N280" s="47"/>
    </row>
    <row r="281" spans="1:14" ht="30">
      <c r="A281" s="23"/>
      <c r="B281" s="26" t="str">
        <f>SmtRes!I159</f>
        <v>1-1024</v>
      </c>
      <c r="C281" s="26" t="str">
        <f>SmtRes!K159</f>
        <v>Рабочий строитель среднего разряда 2,4</v>
      </c>
      <c r="D281" s="24" t="str">
        <f>SmtRes!O159</f>
        <v>чел.-ч</v>
      </c>
      <c r="E281" s="24">
        <f>SmtRes!Y159</f>
        <v>103.91</v>
      </c>
      <c r="F281" s="24">
        <f>SmtRes!Y159*Source!I50</f>
        <v>7.58543</v>
      </c>
      <c r="G281" s="27">
        <f>(SmtRes!AA159+SmtRes!AB159+SmtRes!AD159)</f>
        <v>119.25</v>
      </c>
      <c r="H281" s="28">
        <f>(SmtRes!AA159*SmtRes!Y159*Source!I50+SmtRes!AB159*SmtRes!Y159*Source!I50+SmtRes!AD159*SmtRes!Y159*Source!I50)</f>
        <v>904.5625275</v>
      </c>
      <c r="I281" s="28">
        <f>SmtRes!AD159*SmtRes!Y159*Source!I50</f>
        <v>904.5625275</v>
      </c>
      <c r="J281" s="24"/>
      <c r="K281" s="24"/>
      <c r="L281" s="24"/>
      <c r="M281" s="24"/>
      <c r="N281" s="25"/>
    </row>
    <row r="282" spans="1:14" ht="15">
      <c r="A282" s="29"/>
      <c r="B282" s="32" t="str">
        <f>SmtRes!I160</f>
        <v>2</v>
      </c>
      <c r="C282" s="32" t="str">
        <f>SmtRes!K160</f>
        <v>Затраты труда машинистов</v>
      </c>
      <c r="D282" s="30" t="str">
        <f>SmtRes!O160</f>
        <v>чел.час</v>
      </c>
      <c r="E282" s="30">
        <f>SmtRes!Y160</f>
        <v>7.74</v>
      </c>
      <c r="F282" s="30">
        <f>SmtRes!Y160*Source!I50</f>
        <v>0.56502</v>
      </c>
      <c r="G282" s="33">
        <f>(SmtRes!AA160+SmtRes!AB160+SmtRes!AD160)</f>
        <v>0</v>
      </c>
      <c r="H282" s="34">
        <f>(SmtRes!AA160*SmtRes!Y160*Source!I50+SmtRes!AB160*SmtRes!Y160*Source!I50+SmtRes!AD160*SmtRes!Y160*Source!I50)</f>
        <v>0</v>
      </c>
      <c r="I282" s="30"/>
      <c r="J282" s="30"/>
      <c r="K282" s="34">
        <f>SmtRes!AC160*SmtRes!Y160*Source!I50</f>
        <v>0</v>
      </c>
      <c r="L282" s="30"/>
      <c r="M282" s="30"/>
      <c r="N282" s="31"/>
    </row>
    <row r="283" spans="1:14" ht="45">
      <c r="A283" s="35"/>
      <c r="B283" s="36" t="str">
        <f>SmtRes!I161</f>
        <v>030954</v>
      </c>
      <c r="C283" s="36" t="str">
        <f>SmtRes!K161</f>
        <v>Подъемники грузоподъемностью до 500 кг одномачтовые, высота подъема 45 м</v>
      </c>
      <c r="D283" s="37" t="str">
        <f>SmtRes!O161</f>
        <v>маш.-ч</v>
      </c>
      <c r="E283" s="37">
        <f>SmtRes!Y161</f>
        <v>7.74</v>
      </c>
      <c r="F283" s="37">
        <f>SmtRes!Y161*Source!I50</f>
        <v>0.56502</v>
      </c>
      <c r="G283" s="38">
        <f>(SmtRes!AA161+SmtRes!AB161+SmtRes!AD161)</f>
        <v>246.77</v>
      </c>
      <c r="H283" s="39">
        <f>(SmtRes!AA161*SmtRes!Y161*Source!I50+SmtRes!AB161*SmtRes!Y161*Source!I50+SmtRes!AD161*SmtRes!Y161*Source!I50)</f>
        <v>139.4299854</v>
      </c>
      <c r="I283" s="37"/>
      <c r="J283" s="39">
        <f>SmtRes!AB161*SmtRes!Y161*Source!I50</f>
        <v>139.4299854</v>
      </c>
      <c r="K283" s="39">
        <f>SmtRes!AC161*SmtRes!Y161*Source!I50</f>
        <v>0</v>
      </c>
      <c r="L283" s="37"/>
      <c r="M283" s="37"/>
      <c r="N283" s="40"/>
    </row>
    <row r="284" spans="1:26" ht="54">
      <c r="A284" s="11" t="str">
        <f>IF(Source!E51&lt;&gt;"",Source!E51,"")</f>
        <v>28</v>
      </c>
      <c r="B284" s="11" t="str">
        <f>IF(Source!F51&lt;&gt;"",Source!F51,"")</f>
        <v>09-04-013-2</v>
      </c>
      <c r="C284" s="11" t="s">
        <v>743</v>
      </c>
      <c r="D284" s="12" t="str">
        <f>IF(Source!H51&lt;&gt;"",Source!H51,"")</f>
        <v>1 м2 проема</v>
      </c>
      <c r="E284" s="12" t="str">
        <f>IF(Source!J51=0," ",Source!J51)</f>
        <v> </v>
      </c>
      <c r="F284" s="13">
        <f>Source!I51</f>
        <v>7.3</v>
      </c>
      <c r="G284" s="14">
        <f>IF(Source!AB51=0," ",Source!AB51)</f>
        <v>7245.21</v>
      </c>
      <c r="H284" s="15">
        <f>IF(Source!O51=0," ",Source!O51)</f>
        <v>52890</v>
      </c>
      <c r="I284" s="15">
        <f>IF(Source!S51=0," ",Source!S51)</f>
        <v>3463</v>
      </c>
      <c r="J284" s="15">
        <f>IF(Source!Q51=0," ",Source!Q51)</f>
        <v>361</v>
      </c>
      <c r="K284" s="15" t="str">
        <f>IF(Source!R51=0," ",Source!R51)</f>
        <v> </v>
      </c>
      <c r="L284" s="15">
        <f>IF(Source!P51=0," ",Source!P51)</f>
        <v>49066</v>
      </c>
      <c r="M284" s="16">
        <f>IF(Source!U51=0," ",ROUND(Source!U51,6))</f>
        <v>23.3381</v>
      </c>
      <c r="N284" s="16" t="str">
        <f>IF(Source!V51=0," ",ROUND(Source!V51,6))</f>
        <v> </v>
      </c>
      <c r="T284">
        <f>IF(Source!O51=0," ",Source!O51)</f>
        <v>52890</v>
      </c>
      <c r="U284">
        <v>49066</v>
      </c>
      <c r="V284">
        <f>IF(Source!S51=0," ",Source!S51)</f>
        <v>3463</v>
      </c>
      <c r="W284">
        <f>IF(Source!Q51=0," ",Source!Q51)</f>
        <v>361</v>
      </c>
      <c r="X284" t="str">
        <f>IF(Source!R51=0," ",Source!R51)</f>
        <v> </v>
      </c>
      <c r="Y284">
        <f>IF(Source!U51=0," ",ROUND(Source!U51,6))</f>
        <v>23.3381</v>
      </c>
      <c r="Z284" t="str">
        <f>IF(Source!V51=0," ",ROUND(Source!V51,6))</f>
        <v> </v>
      </c>
    </row>
    <row r="285" spans="1:14" ht="15">
      <c r="A285" s="46"/>
      <c r="B285" s="46"/>
      <c r="C285" s="17" t="s">
        <v>257</v>
      </c>
      <c r="D285" s="18" t="str">
        <f>CONCATENATE(Source!AT51," %")</f>
        <v>68,85 %</v>
      </c>
      <c r="E285" s="18"/>
      <c r="F285" s="18"/>
      <c r="G285" s="18"/>
      <c r="H285" s="19">
        <f>Source!X51</f>
        <v>2384</v>
      </c>
      <c r="I285" s="46"/>
      <c r="J285" s="46"/>
      <c r="K285" s="46"/>
      <c r="L285" s="46"/>
      <c r="M285" s="46"/>
      <c r="N285" s="46"/>
    </row>
    <row r="286" spans="1:14" ht="15">
      <c r="A286" s="46"/>
      <c r="B286" s="46"/>
      <c r="C286" s="17" t="s">
        <v>259</v>
      </c>
      <c r="D286" s="18" t="str">
        <f>CONCATENATE(Source!AU51," %")</f>
        <v>57,8 %</v>
      </c>
      <c r="E286" s="18"/>
      <c r="F286" s="18"/>
      <c r="G286" s="18"/>
      <c r="H286" s="19">
        <f>Source!Y51</f>
        <v>2002</v>
      </c>
      <c r="I286" s="46"/>
      <c r="J286" s="46"/>
      <c r="K286" s="46"/>
      <c r="L286" s="46"/>
      <c r="M286" s="46"/>
      <c r="N286" s="46"/>
    </row>
    <row r="287" spans="1:14" ht="14.25">
      <c r="A287" s="47"/>
      <c r="B287" s="47"/>
      <c r="C287" s="20" t="s">
        <v>680</v>
      </c>
      <c r="D287" s="21"/>
      <c r="E287" s="21"/>
      <c r="F287" s="21"/>
      <c r="G287" s="21"/>
      <c r="H287" s="22">
        <f>SUMIF(Source!AA51:Source!AA51,"=26994759",Source!GM51:Source!GM51)</f>
        <v>57276</v>
      </c>
      <c r="I287" s="47"/>
      <c r="J287" s="47"/>
      <c r="K287" s="47"/>
      <c r="L287" s="47"/>
      <c r="M287" s="47"/>
      <c r="N287" s="47"/>
    </row>
    <row r="288" spans="1:14" ht="43.5">
      <c r="A288" s="23"/>
      <c r="B288" s="26" t="str">
        <f>SmtRes!I162</f>
        <v>1-1043</v>
      </c>
      <c r="C288" s="26" t="s">
        <v>744</v>
      </c>
      <c r="D288" s="24" t="str">
        <f>SmtRes!O162</f>
        <v>чел.-ч</v>
      </c>
      <c r="E288" s="24">
        <f>SmtRes!Y162</f>
        <v>3.1969999999999996</v>
      </c>
      <c r="F288" s="24">
        <f>SmtRes!Y162*Source!I51</f>
        <v>23.338099999999997</v>
      </c>
      <c r="G288" s="27">
        <f>(SmtRes!AA162+SmtRes!AB162+SmtRes!AD162)</f>
        <v>148.4</v>
      </c>
      <c r="H288" s="28">
        <f>(SmtRes!AA162*SmtRes!Y162*Source!I51+SmtRes!AB162*SmtRes!Y162*Source!I51+SmtRes!AD162*SmtRes!Y162*Source!I51)</f>
        <v>3463.3740399999997</v>
      </c>
      <c r="I288" s="28">
        <f>SmtRes!AD162*SmtRes!Y162*Source!I51</f>
        <v>3463.3740399999997</v>
      </c>
      <c r="J288" s="24"/>
      <c r="K288" s="24"/>
      <c r="L288" s="24"/>
      <c r="M288" s="24"/>
      <c r="N288" s="25"/>
    </row>
    <row r="289" spans="1:14" ht="43.5">
      <c r="A289" s="29"/>
      <c r="B289" s="32" t="str">
        <f>SmtRes!I163</f>
        <v>040502</v>
      </c>
      <c r="C289" s="32" t="s">
        <v>745</v>
      </c>
      <c r="D289" s="30" t="str">
        <f>SmtRes!O163</f>
        <v>маш.-ч</v>
      </c>
      <c r="E289" s="30">
        <f>SmtRes!Y163</f>
        <v>0.9125</v>
      </c>
      <c r="F289" s="30">
        <f>SmtRes!Y163*Source!I51</f>
        <v>6.66125</v>
      </c>
      <c r="G289" s="33">
        <f>(SmtRes!AA163+SmtRes!AB163+SmtRes!AD163)</f>
        <v>33.39</v>
      </c>
      <c r="H289" s="34">
        <f>(SmtRes!AA163*SmtRes!Y163*Source!I51+SmtRes!AB163*SmtRes!Y163*Source!I51+SmtRes!AD163*SmtRes!Y163*Source!I51)</f>
        <v>222.41913749999998</v>
      </c>
      <c r="I289" s="30"/>
      <c r="J289" s="34">
        <f>SmtRes!AB163*SmtRes!Y163*Source!I51</f>
        <v>222.41913749999998</v>
      </c>
      <c r="K289" s="34">
        <f>SmtRes!AC163*SmtRes!Y163*Source!I51</f>
        <v>0</v>
      </c>
      <c r="L289" s="30"/>
      <c r="M289" s="30"/>
      <c r="N289" s="31"/>
    </row>
    <row r="290" spans="1:14" ht="28.5">
      <c r="A290" s="29"/>
      <c r="B290" s="32" t="str">
        <f>SmtRes!I164</f>
        <v>134041</v>
      </c>
      <c r="C290" s="32" t="s">
        <v>682</v>
      </c>
      <c r="D290" s="30" t="str">
        <f>SmtRes!O164</f>
        <v>маш.-ч</v>
      </c>
      <c r="E290" s="30">
        <f>SmtRes!Y164</f>
        <v>0.9625</v>
      </c>
      <c r="F290" s="30">
        <f>SmtRes!Y164*Source!I51</f>
        <v>7.02625</v>
      </c>
      <c r="G290" s="33">
        <f>(SmtRes!AA164+SmtRes!AB164+SmtRes!AD164)</f>
        <v>11.91</v>
      </c>
      <c r="H290" s="34">
        <f>(SmtRes!AA164*SmtRes!Y164*Source!I51+SmtRes!AB164*SmtRes!Y164*Source!I51+SmtRes!AD164*SmtRes!Y164*Source!I51)</f>
        <v>83.6826375</v>
      </c>
      <c r="I290" s="30"/>
      <c r="J290" s="34">
        <f>SmtRes!AB164*SmtRes!Y164*Source!I51</f>
        <v>83.6826375</v>
      </c>
      <c r="K290" s="34">
        <f>SmtRes!AC164*SmtRes!Y164*Source!I51</f>
        <v>0</v>
      </c>
      <c r="L290" s="30"/>
      <c r="M290" s="30"/>
      <c r="N290" s="31"/>
    </row>
    <row r="291" spans="1:14" ht="28.5">
      <c r="A291" s="29"/>
      <c r="B291" s="32" t="str">
        <f>SmtRes!I165</f>
        <v>331451</v>
      </c>
      <c r="C291" s="32" t="s">
        <v>684</v>
      </c>
      <c r="D291" s="30" t="str">
        <f>SmtRes!O165</f>
        <v>маш.-ч</v>
      </c>
      <c r="E291" s="30">
        <f>SmtRes!Y165</f>
        <v>0.9125</v>
      </c>
      <c r="F291" s="30">
        <f>SmtRes!Y165*Source!I51</f>
        <v>6.66125</v>
      </c>
      <c r="G291" s="33">
        <f>(SmtRes!AA165+SmtRes!AB165+SmtRes!AD165)</f>
        <v>8.26</v>
      </c>
      <c r="H291" s="34">
        <f>(SmtRes!AA165*SmtRes!Y165*Source!I51+SmtRes!AB165*SmtRes!Y165*Source!I51+SmtRes!AD165*SmtRes!Y165*Source!I51)</f>
        <v>55.021924999999996</v>
      </c>
      <c r="I291" s="30"/>
      <c r="J291" s="34">
        <f>SmtRes!AB165*SmtRes!Y165*Source!I51</f>
        <v>55.021924999999996</v>
      </c>
      <c r="K291" s="34">
        <f>SmtRes!AC165*SmtRes!Y165*Source!I51</f>
        <v>0</v>
      </c>
      <c r="L291" s="30"/>
      <c r="M291" s="30"/>
      <c r="N291" s="31"/>
    </row>
    <row r="292" spans="1:14" ht="15">
      <c r="A292" s="29"/>
      <c r="B292" s="32">
        <f>SmtRes!I166</f>
      </c>
      <c r="C292" s="32" t="str">
        <f>SmtRes!K166</f>
        <v>Доводчик дверной</v>
      </c>
      <c r="D292" s="30" t="str">
        <f>SmtRes!O166</f>
        <v>шт.</v>
      </c>
      <c r="E292" s="30">
        <f>SmtRes!Y166</f>
        <v>0.29411764705882354</v>
      </c>
      <c r="F292" s="30">
        <f>SmtRes!Y166*Source!I51</f>
        <v>2.1470588235294117</v>
      </c>
      <c r="G292" s="33">
        <f>(SmtRes!AA166+SmtRes!AB166+SmtRes!AD166)</f>
        <v>1278.56</v>
      </c>
      <c r="H292" s="34">
        <f>(SmtRes!AA166*SmtRes!Y166*Source!I51+SmtRes!AB166*SmtRes!Y166*Source!I51+SmtRes!AD166*SmtRes!Y166*Source!I51)</f>
        <v>2745.1435294117646</v>
      </c>
      <c r="I292" s="30"/>
      <c r="J292" s="30"/>
      <c r="K292" s="30"/>
      <c r="L292" s="34">
        <f>SmtRes!AA166*SmtRes!Y166*Source!I51</f>
        <v>2745.1435294117646</v>
      </c>
      <c r="M292" s="30"/>
      <c r="N292" s="31"/>
    </row>
    <row r="293" spans="1:14" ht="15">
      <c r="A293" s="29"/>
      <c r="B293" s="32" t="str">
        <f>SmtRes!I167</f>
        <v>101-1513</v>
      </c>
      <c r="C293" s="32" t="str">
        <f>SmtRes!K167</f>
        <v>Электроды</v>
      </c>
      <c r="D293" s="30" t="str">
        <f>SmtRes!O167</f>
        <v>т</v>
      </c>
      <c r="E293" s="30">
        <f>SmtRes!Y167</f>
        <v>8E-05</v>
      </c>
      <c r="F293" s="30">
        <f>SmtRes!Y167*Source!I51</f>
        <v>0.000584</v>
      </c>
      <c r="G293" s="33">
        <f>(SmtRes!AA167+SmtRes!AB167+SmtRes!AD167)</f>
        <v>73728.81</v>
      </c>
      <c r="H293" s="34">
        <f>(SmtRes!AA167*SmtRes!Y167*Source!I51+SmtRes!AB167*SmtRes!Y167*Source!I51+SmtRes!AD167*SmtRes!Y167*Source!I51)</f>
        <v>43.05762504</v>
      </c>
      <c r="I293" s="30"/>
      <c r="J293" s="30"/>
      <c r="K293" s="30"/>
      <c r="L293" s="34">
        <f>SmtRes!AA167*SmtRes!Y167*Source!I51</f>
        <v>43.05762504</v>
      </c>
      <c r="M293" s="30"/>
      <c r="N293" s="31"/>
    </row>
    <row r="294" spans="1:14" ht="15">
      <c r="A294" s="29"/>
      <c r="B294" s="32" t="str">
        <f>SmtRes!I168</f>
        <v>101-1929</v>
      </c>
      <c r="C294" s="32" t="str">
        <f>SmtRes!K168</f>
        <v>Болты анкерные</v>
      </c>
      <c r="D294" s="30" t="str">
        <f>SmtRes!O168</f>
        <v>т</v>
      </c>
      <c r="E294" s="30">
        <f>SmtRes!Y168</f>
        <v>0.003</v>
      </c>
      <c r="F294" s="30">
        <f>SmtRes!Y168*Source!I51</f>
        <v>0.0219</v>
      </c>
      <c r="G294" s="33">
        <f>(SmtRes!AA168+SmtRes!AB168+SmtRes!AD168)</f>
        <v>98305.08</v>
      </c>
      <c r="H294" s="34">
        <f>(SmtRes!AA168*SmtRes!Y168*Source!I51+SmtRes!AB168*SmtRes!Y168*Source!I51+SmtRes!AD168*SmtRes!Y168*Source!I51)</f>
        <v>2152.881252</v>
      </c>
      <c r="I294" s="30"/>
      <c r="J294" s="30"/>
      <c r="K294" s="30"/>
      <c r="L294" s="34">
        <f>SmtRes!AA168*SmtRes!Y168*Source!I51</f>
        <v>2152.881252</v>
      </c>
      <c r="M294" s="30"/>
      <c r="N294" s="31"/>
    </row>
    <row r="295" spans="1:14" ht="15">
      <c r="A295" s="29"/>
      <c r="B295" s="32" t="str">
        <f>SmtRes!I169</f>
        <v>101-3661</v>
      </c>
      <c r="C295" s="32" t="str">
        <f>SmtRes!K169</f>
        <v>Пена монтажная</v>
      </c>
      <c r="D295" s="30" t="str">
        <f>SmtRes!O169</f>
        <v>шт.</v>
      </c>
      <c r="E295" s="30">
        <f>SmtRes!Y169</f>
        <v>0.18965517241379312</v>
      </c>
      <c r="F295" s="30">
        <f>SmtRes!Y169*Source!I51</f>
        <v>1.3844827586206898</v>
      </c>
      <c r="G295" s="33">
        <f>(SmtRes!AA169+SmtRes!AB169+SmtRes!AD169)</f>
        <v>279.66</v>
      </c>
      <c r="H295" s="34">
        <f>(SmtRes!AA169*SmtRes!Y169*Source!I51+SmtRes!AB169*SmtRes!Y169*Source!I51+SmtRes!AD169*SmtRes!Y169*Source!I51)</f>
        <v>387.1844482758621</v>
      </c>
      <c r="I295" s="30"/>
      <c r="J295" s="30"/>
      <c r="K295" s="30"/>
      <c r="L295" s="34">
        <f>SmtRes!AA169*SmtRes!Y169*Source!I51</f>
        <v>387.1844482758621</v>
      </c>
      <c r="M295" s="30"/>
      <c r="N295" s="31"/>
    </row>
    <row r="296" spans="1:14" ht="30">
      <c r="A296" s="35"/>
      <c r="B296" s="36" t="str">
        <f>SmtRes!I170</f>
        <v>203-9009</v>
      </c>
      <c r="C296" s="36" t="str">
        <f>SmtRes!K170</f>
        <v>Дверь противопожарная металлическая</v>
      </c>
      <c r="D296" s="37" t="str">
        <f>SmtRes!O170</f>
        <v>шт.</v>
      </c>
      <c r="E296" s="37">
        <f>SmtRes!Y170</f>
        <v>0.273972602739726</v>
      </c>
      <c r="F296" s="37">
        <f>SmtRes!Y170*Source!I51</f>
        <v>1.9999999999999998</v>
      </c>
      <c r="G296" s="38">
        <f>(SmtRes!AA170+SmtRes!AB170+SmtRes!AD170)</f>
        <v>21868.64</v>
      </c>
      <c r="H296" s="39">
        <f>(SmtRes!AA170*SmtRes!Y170*Source!I51+SmtRes!AB170*SmtRes!Y170*Source!I51+SmtRes!AD170*SmtRes!Y170*Source!I51)</f>
        <v>43737.28</v>
      </c>
      <c r="I296" s="37"/>
      <c r="J296" s="37"/>
      <c r="K296" s="37"/>
      <c r="L296" s="39">
        <f>SmtRes!AA170*SmtRes!Y170*Source!I51</f>
        <v>43737.28</v>
      </c>
      <c r="M296" s="37"/>
      <c r="N296" s="40"/>
    </row>
    <row r="297" spans="1:26" ht="68.25">
      <c r="A297" s="11" t="str">
        <f>IF(Source!E52&lt;&gt;"",Source!E52,"")</f>
        <v>29</v>
      </c>
      <c r="B297" s="11" t="str">
        <f>IF(Source!F52&lt;&gt;"",Source!F52,"")</f>
        <v>08-07-002-1</v>
      </c>
      <c r="C297" s="11" t="s">
        <v>746</v>
      </c>
      <c r="D297" s="12" t="str">
        <f>IF(Source!H52&lt;&gt;"",Source!H52,"")</f>
        <v>100 м2 горизонтальной проекции</v>
      </c>
      <c r="E297" s="12" t="str">
        <f>IF(Source!J52=0," ",Source!J52)</f>
        <v> </v>
      </c>
      <c r="F297" s="13">
        <f>Source!I52</f>
        <v>0.349</v>
      </c>
      <c r="G297" s="14">
        <f>IF(Source!AB52=0," ",Source!AB52)</f>
        <v>14458.94</v>
      </c>
      <c r="H297" s="15">
        <f>IF(Source!O52=0," ",Source!O52)</f>
        <v>5046</v>
      </c>
      <c r="I297" s="15">
        <f>IF(Source!S52=0," ",Source!S52)</f>
        <v>3587</v>
      </c>
      <c r="J297" s="15">
        <f>IF(Source!Q52=0," ",Source!Q52)</f>
        <v>54</v>
      </c>
      <c r="K297" s="15" t="str">
        <f>IF(Source!R52=0," ",Source!R52)</f>
        <v> </v>
      </c>
      <c r="L297" s="15">
        <f>IF(Source!P52=0," ",Source!P52)</f>
        <v>1405</v>
      </c>
      <c r="M297" s="16">
        <f>IF(Source!U52=0," ",ROUND(Source!U52,6))</f>
        <v>28.17477</v>
      </c>
      <c r="N297" s="16" t="str">
        <f>IF(Source!V52=0," ",ROUND(Source!V52,6))</f>
        <v> </v>
      </c>
      <c r="T297">
        <f>IF(Source!O52=0," ",Source!O52)</f>
        <v>5046</v>
      </c>
      <c r="U297">
        <v>1405</v>
      </c>
      <c r="V297">
        <f>IF(Source!S52=0," ",Source!S52)</f>
        <v>3587</v>
      </c>
      <c r="W297">
        <f>IF(Source!Q52=0," ",Source!Q52)</f>
        <v>54</v>
      </c>
      <c r="X297" t="str">
        <f>IF(Source!R52=0," ",Source!R52)</f>
        <v> </v>
      </c>
      <c r="Y297">
        <f>IF(Source!U52=0," ",ROUND(Source!U52,6))</f>
        <v>28.17477</v>
      </c>
      <c r="Z297" t="str">
        <f>IF(Source!V52=0," ",ROUND(Source!V52,6))</f>
        <v> </v>
      </c>
    </row>
    <row r="298" spans="1:14" ht="15">
      <c r="A298" s="46"/>
      <c r="B298" s="46"/>
      <c r="C298" s="17" t="s">
        <v>257</v>
      </c>
      <c r="D298" s="18" t="str">
        <f>CONCATENATE(Source!AT52," %")</f>
        <v>93,33 %</v>
      </c>
      <c r="E298" s="18"/>
      <c r="F298" s="18"/>
      <c r="G298" s="18"/>
      <c r="H298" s="19">
        <f>Source!X52</f>
        <v>3348</v>
      </c>
      <c r="I298" s="46"/>
      <c r="J298" s="46"/>
      <c r="K298" s="46"/>
      <c r="L298" s="46"/>
      <c r="M298" s="46"/>
      <c r="N298" s="46"/>
    </row>
    <row r="299" spans="1:14" ht="15">
      <c r="A299" s="46"/>
      <c r="B299" s="46"/>
      <c r="C299" s="17" t="s">
        <v>259</v>
      </c>
      <c r="D299" s="18" t="str">
        <f>CONCATENATE(Source!AU52," %")</f>
        <v>54,4 %</v>
      </c>
      <c r="E299" s="18"/>
      <c r="F299" s="18"/>
      <c r="G299" s="18"/>
      <c r="H299" s="19">
        <f>Source!Y52</f>
        <v>1951</v>
      </c>
      <c r="I299" s="46"/>
      <c r="J299" s="46"/>
      <c r="K299" s="46"/>
      <c r="L299" s="46"/>
      <c r="M299" s="46"/>
      <c r="N299" s="46"/>
    </row>
    <row r="300" spans="1:14" ht="14.25">
      <c r="A300" s="47"/>
      <c r="B300" s="47"/>
      <c r="C300" s="20" t="s">
        <v>680</v>
      </c>
      <c r="D300" s="21"/>
      <c r="E300" s="21"/>
      <c r="F300" s="21"/>
      <c r="G300" s="21"/>
      <c r="H300" s="22">
        <f>SUMIF(Source!AA52:Source!AA52,"=26994759",Source!GM52:Source!GM52)</f>
        <v>10345</v>
      </c>
      <c r="I300" s="47"/>
      <c r="J300" s="47"/>
      <c r="K300" s="47"/>
      <c r="L300" s="47"/>
      <c r="M300" s="47"/>
      <c r="N300" s="47"/>
    </row>
    <row r="301" spans="1:14" ht="43.5">
      <c r="A301" s="23"/>
      <c r="B301" s="26" t="str">
        <f>SmtRes!I171</f>
        <v>1-1031</v>
      </c>
      <c r="C301" s="26" t="s">
        <v>747</v>
      </c>
      <c r="D301" s="24" t="str">
        <f>SmtRes!O171</f>
        <v>чел.-ч</v>
      </c>
      <c r="E301" s="24">
        <f>SmtRes!Y171</f>
        <v>80.73</v>
      </c>
      <c r="F301" s="24">
        <f>SmtRes!Y171*Source!I52</f>
        <v>28.17477</v>
      </c>
      <c r="G301" s="27">
        <f>(SmtRes!AA171+SmtRes!AB171+SmtRes!AD171)</f>
        <v>127.31</v>
      </c>
      <c r="H301" s="28">
        <f>(SmtRes!AA171*SmtRes!Y171*Source!I52+SmtRes!AB171*SmtRes!Y171*Source!I52+SmtRes!AD171*SmtRes!Y171*Source!I52)</f>
        <v>3586.9299687</v>
      </c>
      <c r="I301" s="28">
        <f>SmtRes!AD171*SmtRes!Y171*Source!I52</f>
        <v>3586.9299687</v>
      </c>
      <c r="J301" s="24"/>
      <c r="K301" s="24"/>
      <c r="L301" s="24"/>
      <c r="M301" s="24"/>
      <c r="N301" s="25"/>
    </row>
    <row r="302" spans="1:14" ht="43.5">
      <c r="A302" s="29"/>
      <c r="B302" s="32" t="str">
        <f>SmtRes!I172</f>
        <v>400001</v>
      </c>
      <c r="C302" s="32" t="s">
        <v>692</v>
      </c>
      <c r="D302" s="30" t="str">
        <f>SmtRes!O172</f>
        <v>маш.-ч</v>
      </c>
      <c r="E302" s="30">
        <f>SmtRes!Y172</f>
        <v>0.22499999999999998</v>
      </c>
      <c r="F302" s="30">
        <f>SmtRes!Y172*Source!I52</f>
        <v>0.07852499999999998</v>
      </c>
      <c r="G302" s="33">
        <f>(SmtRes!AA172+SmtRes!AB172+SmtRes!AD172)</f>
        <v>691.3</v>
      </c>
      <c r="H302" s="34">
        <f>(SmtRes!AA172*SmtRes!Y172*Source!I52+SmtRes!AB172*SmtRes!Y172*Source!I52+SmtRes!AD172*SmtRes!Y172*Source!I52)</f>
        <v>54.284332499999984</v>
      </c>
      <c r="I302" s="30"/>
      <c r="J302" s="34">
        <f>SmtRes!AB172*SmtRes!Y172*Source!I52</f>
        <v>54.284332499999984</v>
      </c>
      <c r="K302" s="34">
        <f>SmtRes!AC172*SmtRes!Y172*Source!I52</f>
        <v>0</v>
      </c>
      <c r="L302" s="30"/>
      <c r="M302" s="30"/>
      <c r="N302" s="31"/>
    </row>
    <row r="303" spans="1:14" ht="15">
      <c r="A303" s="29"/>
      <c r="B303" s="32" t="str">
        <f>SmtRes!I173</f>
        <v>101-9087</v>
      </c>
      <c r="C303" s="32" t="str">
        <f>SmtRes!K173</f>
        <v>Детали деревянные лесов</v>
      </c>
      <c r="D303" s="30" t="str">
        <f>SmtRes!O173</f>
        <v>м3</v>
      </c>
      <c r="E303" s="30">
        <f>SmtRes!Y173</f>
        <v>0.008</v>
      </c>
      <c r="F303" s="30">
        <f>SmtRes!Y173*Source!I52</f>
        <v>0.0027919999999999998</v>
      </c>
      <c r="G303" s="33">
        <f>(SmtRes!AA173+SmtRes!AB173+SmtRes!AD173)</f>
        <v>5508.47</v>
      </c>
      <c r="H303" s="34">
        <f>(SmtRes!AA173*SmtRes!Y173*Source!I52+SmtRes!AB173*SmtRes!Y173*Source!I52+SmtRes!AD173*SmtRes!Y173*Source!I52)</f>
        <v>15.379648239999998</v>
      </c>
      <c r="I303" s="30"/>
      <c r="J303" s="30"/>
      <c r="K303" s="30"/>
      <c r="L303" s="34">
        <f>SmtRes!AA173*SmtRes!Y173*Source!I52</f>
        <v>15.379648239999998</v>
      </c>
      <c r="M303" s="30"/>
      <c r="N303" s="31"/>
    </row>
    <row r="304" spans="1:14" ht="15">
      <c r="A304" s="29"/>
      <c r="B304" s="32" t="str">
        <f>SmtRes!I174</f>
        <v>101-9093</v>
      </c>
      <c r="C304" s="32" t="str">
        <f>SmtRes!K174</f>
        <v>Детали стальных трубчатых лесов</v>
      </c>
      <c r="D304" s="30" t="str">
        <f>SmtRes!O174</f>
        <v>т</v>
      </c>
      <c r="E304" s="30">
        <f>SmtRes!Y174</f>
        <v>0.029</v>
      </c>
      <c r="F304" s="30">
        <f>SmtRes!Y174*Source!I52</f>
        <v>0.010121</v>
      </c>
      <c r="G304" s="33">
        <f>(SmtRes!AA174+SmtRes!AB174+SmtRes!AD174)</f>
        <v>76221.72</v>
      </c>
      <c r="H304" s="34">
        <f>(SmtRes!AA174*SmtRes!Y174*Source!I52+SmtRes!AB174*SmtRes!Y174*Source!I52+SmtRes!AD174*SmtRes!Y174*Source!I52)</f>
        <v>771.44002812</v>
      </c>
      <c r="I304" s="30"/>
      <c r="J304" s="30"/>
      <c r="K304" s="30"/>
      <c r="L304" s="34">
        <f>SmtRes!AA174*SmtRes!Y174*Source!I52</f>
        <v>771.44002812</v>
      </c>
      <c r="M304" s="30"/>
      <c r="N304" s="31"/>
    </row>
    <row r="305" spans="1:14" ht="15">
      <c r="A305" s="35"/>
      <c r="B305" s="36" t="str">
        <f>SmtRes!I175</f>
        <v>203-0514</v>
      </c>
      <c r="C305" s="36" t="str">
        <f>SmtRes!K175</f>
        <v>Щиты настила</v>
      </c>
      <c r="D305" s="37" t="str">
        <f>SmtRes!O175</f>
        <v>м2</v>
      </c>
      <c r="E305" s="37">
        <f>SmtRes!Y175</f>
        <v>5.5</v>
      </c>
      <c r="F305" s="37">
        <f>SmtRes!Y175*Source!I52</f>
        <v>1.9194999999999998</v>
      </c>
      <c r="G305" s="38">
        <f>(SmtRes!AA175+SmtRes!AB175+SmtRes!AD175)</f>
        <v>322.03</v>
      </c>
      <c r="H305" s="39">
        <f>(SmtRes!AA175*SmtRes!Y175*Source!I52+SmtRes!AB175*SmtRes!Y175*Source!I52+SmtRes!AD175*SmtRes!Y175*Source!I52)</f>
        <v>618.136585</v>
      </c>
      <c r="I305" s="37"/>
      <c r="J305" s="37"/>
      <c r="K305" s="37"/>
      <c r="L305" s="39">
        <f>SmtRes!AA175*SmtRes!Y175*Source!I52</f>
        <v>618.136585</v>
      </c>
      <c r="M305" s="37"/>
      <c r="N305" s="40"/>
    </row>
    <row r="306" spans="1:26" ht="41.25">
      <c r="A306" s="11" t="str">
        <f>IF(Source!E53&lt;&gt;"",Source!E53,"")</f>
        <v>30</v>
      </c>
      <c r="B306" s="11" t="str">
        <f>IF(Source!F53&lt;&gt;"",Source!F53,"")</f>
        <v>69-9-1</v>
      </c>
      <c r="C306" s="11" t="s">
        <v>748</v>
      </c>
      <c r="D306" s="12" t="str">
        <f>IF(Source!H53&lt;&gt;"",Source!H53,"")</f>
        <v>100 т мусора</v>
      </c>
      <c r="E306" s="12" t="str">
        <f>IF(Source!J53=0," ",Source!J53)</f>
        <v> </v>
      </c>
      <c r="F306" s="13">
        <f>Source!I53</f>
        <v>0.264</v>
      </c>
      <c r="G306" s="14">
        <f>IF(Source!AB53=0," ",Source!AB53)</f>
        <v>22921.52</v>
      </c>
      <c r="H306" s="15">
        <f>IF(Source!O53=0," ",Source!O53)</f>
        <v>6051</v>
      </c>
      <c r="I306" s="15">
        <f>IF(Source!S53=0," ",Source!S53)</f>
        <v>6051</v>
      </c>
      <c r="J306" s="15" t="str">
        <f>IF(Source!Q53=0," ",Source!Q53)</f>
        <v> </v>
      </c>
      <c r="K306" s="15" t="str">
        <f>IF(Source!R53=0," ",Source!R53)</f>
        <v> </v>
      </c>
      <c r="L306" s="15" t="str">
        <f>IF(Source!P53=0," ",Source!P53)</f>
        <v> </v>
      </c>
      <c r="M306" s="16">
        <f>IF(Source!U53=0," ",ROUND(Source!U53,6))</f>
        <v>56.58048</v>
      </c>
      <c r="N306" s="16" t="str">
        <f>IF(Source!V53=0," ",ROUND(Source!V53,6))</f>
        <v> </v>
      </c>
      <c r="T306">
        <f>IF(Source!O53=0," ",Source!O53)</f>
        <v>6051</v>
      </c>
      <c r="U306" t="s">
        <v>724</v>
      </c>
      <c r="V306">
        <f>IF(Source!S53=0," ",Source!S53)</f>
        <v>6051</v>
      </c>
      <c r="W306" t="str">
        <f>IF(Source!Q53=0," ",Source!Q53)</f>
        <v> </v>
      </c>
      <c r="X306" t="str">
        <f>IF(Source!R53=0," ",Source!R53)</f>
        <v> </v>
      </c>
      <c r="Y306">
        <f>IF(Source!U53=0," ",ROUND(Source!U53,6))</f>
        <v>56.58048</v>
      </c>
      <c r="Z306" t="str">
        <f>IF(Source!V53=0," ",ROUND(Source!V53,6))</f>
        <v> </v>
      </c>
    </row>
    <row r="307" spans="1:14" ht="15">
      <c r="A307" s="46"/>
      <c r="B307" s="46"/>
      <c r="C307" s="17" t="s">
        <v>257</v>
      </c>
      <c r="D307" s="18" t="str">
        <f>CONCATENATE(Source!AT53," %")</f>
        <v>66,3 %</v>
      </c>
      <c r="E307" s="18"/>
      <c r="F307" s="18"/>
      <c r="G307" s="18"/>
      <c r="H307" s="19">
        <f>Source!X53</f>
        <v>4012</v>
      </c>
      <c r="I307" s="46"/>
      <c r="J307" s="46"/>
      <c r="K307" s="46"/>
      <c r="L307" s="46"/>
      <c r="M307" s="46"/>
      <c r="N307" s="46"/>
    </row>
    <row r="308" spans="1:14" ht="15">
      <c r="A308" s="46"/>
      <c r="B308" s="46"/>
      <c r="C308" s="17" t="s">
        <v>259</v>
      </c>
      <c r="D308" s="18" t="str">
        <f>CONCATENATE(Source!AU53," %")</f>
        <v>40 %</v>
      </c>
      <c r="E308" s="18"/>
      <c r="F308" s="18"/>
      <c r="G308" s="18"/>
      <c r="H308" s="19">
        <f>Source!Y53</f>
        <v>2420</v>
      </c>
      <c r="I308" s="46"/>
      <c r="J308" s="46"/>
      <c r="K308" s="46"/>
      <c r="L308" s="46"/>
      <c r="M308" s="46"/>
      <c r="N308" s="46"/>
    </row>
    <row r="309" spans="1:14" ht="14.25">
      <c r="A309" s="47"/>
      <c r="B309" s="47"/>
      <c r="C309" s="20" t="s">
        <v>680</v>
      </c>
      <c r="D309" s="21"/>
      <c r="E309" s="21"/>
      <c r="F309" s="21"/>
      <c r="G309" s="21"/>
      <c r="H309" s="22">
        <f>SUMIF(Source!AA53:Source!AA53,"=26994759",Source!GM53:Source!GM53)</f>
        <v>12483</v>
      </c>
      <c r="I309" s="47"/>
      <c r="J309" s="47"/>
      <c r="K309" s="47"/>
      <c r="L309" s="47"/>
      <c r="M309" s="47"/>
      <c r="N309" s="47"/>
    </row>
    <row r="310" spans="1:14" ht="30">
      <c r="A310" s="23"/>
      <c r="B310" s="26" t="str">
        <f>SmtRes!I176</f>
        <v>1-1011</v>
      </c>
      <c r="C310" s="26" t="str">
        <f>SmtRes!K176</f>
        <v>Рабочий строитель среднего разряда 1,1</v>
      </c>
      <c r="D310" s="24" t="str">
        <f>SmtRes!O176</f>
        <v>чел.-ч</v>
      </c>
      <c r="E310" s="24">
        <f>SmtRes!Y176</f>
        <v>214.32</v>
      </c>
      <c r="F310" s="24">
        <f>SmtRes!Y176*Source!I53</f>
        <v>56.58048</v>
      </c>
      <c r="G310" s="27">
        <f>(SmtRes!AA176+SmtRes!AB176+SmtRes!AD176)</f>
        <v>106.95</v>
      </c>
      <c r="H310" s="28">
        <f>(SmtRes!AA176*SmtRes!Y176*Source!I53+SmtRes!AB176*SmtRes!Y176*Source!I53+SmtRes!AD176*SmtRes!Y176*Source!I53)</f>
        <v>6051.282336</v>
      </c>
      <c r="I310" s="28">
        <f>SmtRes!AD176*SmtRes!Y176*Source!I53</f>
        <v>6051.282336</v>
      </c>
      <c r="J310" s="24"/>
      <c r="K310" s="24"/>
      <c r="L310" s="24"/>
      <c r="M310" s="24"/>
      <c r="N310" s="25"/>
    </row>
    <row r="311" spans="1:14" ht="15">
      <c r="A311" s="35"/>
      <c r="B311" s="36" t="str">
        <f>SmtRes!I177</f>
        <v>509-9900</v>
      </c>
      <c r="C311" s="36" t="str">
        <f>SmtRes!K177</f>
        <v>Строительный мусор</v>
      </c>
      <c r="D311" s="37" t="str">
        <f>SmtRes!O177</f>
        <v>т</v>
      </c>
      <c r="E311" s="37">
        <f>SmtRes!Y177</f>
        <v>100</v>
      </c>
      <c r="F311" s="37">
        <f>SmtRes!Y177*Source!I53</f>
        <v>26.400000000000002</v>
      </c>
      <c r="G311" s="38">
        <f>(SmtRes!AA177+SmtRes!AB177+SmtRes!AD177)</f>
        <v>0</v>
      </c>
      <c r="H311" s="39">
        <f>(SmtRes!AA177*SmtRes!Y177*Source!I53+SmtRes!AB177*SmtRes!Y177*Source!I53+SmtRes!AD177*SmtRes!Y177*Source!I53)</f>
        <v>0</v>
      </c>
      <c r="I311" s="37"/>
      <c r="J311" s="37"/>
      <c r="K311" s="37"/>
      <c r="L311" s="39">
        <f>SmtRes!AA177*SmtRes!Y177*Source!I53</f>
        <v>0</v>
      </c>
      <c r="M311" s="37"/>
      <c r="N311" s="40"/>
    </row>
    <row r="312" spans="1:26" ht="55.5">
      <c r="A312" s="11" t="str">
        <f>IF(Source!E54&lt;&gt;"",Source!E54,"")</f>
        <v>31</v>
      </c>
      <c r="B312" s="11" t="str">
        <f>IF(Source!F54&lt;&gt;"",Source!F54,"")</f>
        <v>ФСЦП 311-01-148-1</v>
      </c>
      <c r="C312" s="11" t="s">
        <v>749</v>
      </c>
      <c r="D312" s="12" t="str">
        <f>IF(Source!H54&lt;&gt;"",Source!H54,"")</f>
        <v>т</v>
      </c>
      <c r="E312" s="12" t="str">
        <f>IF(Source!J54=0," ",Source!J54)</f>
        <v> </v>
      </c>
      <c r="F312" s="13">
        <f>Source!I54</f>
        <v>26.4</v>
      </c>
      <c r="G312" s="14">
        <f>IF(Source!AB54=0," ",Source!AB54)</f>
        <v>16.9</v>
      </c>
      <c r="H312" s="15">
        <f>IF(Source!O54=0," ",Source!O54)</f>
        <v>446</v>
      </c>
      <c r="I312" s="15" t="str">
        <f>IF(Source!S54=0," ",Source!S54)</f>
        <v> </v>
      </c>
      <c r="J312" s="15">
        <f>IF(Source!Q54=0," ",Source!Q54)</f>
        <v>446</v>
      </c>
      <c r="K312" s="15" t="str">
        <f>IF(Source!R54=0," ",Source!R54)</f>
        <v> </v>
      </c>
      <c r="L312" s="15" t="str">
        <f>IF(Source!P54=0," ",Source!P54)</f>
        <v> </v>
      </c>
      <c r="M312" s="16" t="str">
        <f>IF(Source!U54=0," ",ROUND(Source!U54,6))</f>
        <v> </v>
      </c>
      <c r="N312" s="16">
        <f>IF(Source!V54=0," ",ROUND(Source!V54,6))</f>
        <v>0.6336</v>
      </c>
      <c r="T312">
        <f>IF(Source!O54=0," ",Source!O54)</f>
        <v>446</v>
      </c>
      <c r="U312" t="s">
        <v>724</v>
      </c>
      <c r="V312" t="str">
        <f>IF(Source!S54=0," ",Source!S54)</f>
        <v> </v>
      </c>
      <c r="W312">
        <f>IF(Source!Q54=0," ",Source!Q54)</f>
        <v>446</v>
      </c>
      <c r="X312" t="str">
        <f>IF(Source!R54=0," ",Source!R54)</f>
        <v> </v>
      </c>
      <c r="Y312" t="str">
        <f>IF(Source!U54=0," ",ROUND(Source!U54,6))</f>
        <v> </v>
      </c>
      <c r="Z312">
        <f>IF(Source!V54=0," ",ROUND(Source!V54,6))</f>
        <v>0.6336</v>
      </c>
    </row>
    <row r="313" spans="1:14" ht="14.25">
      <c r="A313" s="47"/>
      <c r="B313" s="47"/>
      <c r="C313" s="20" t="s">
        <v>680</v>
      </c>
      <c r="D313" s="21"/>
      <c r="E313" s="21"/>
      <c r="F313" s="21"/>
      <c r="G313" s="21"/>
      <c r="H313" s="22">
        <f>SUMIF(Source!AA54:Source!AA54,"=26994759",Source!GM54:Source!GM54)</f>
        <v>446</v>
      </c>
      <c r="I313" s="47"/>
      <c r="J313" s="47"/>
      <c r="K313" s="47"/>
      <c r="L313" s="47"/>
      <c r="M313" s="47"/>
      <c r="N313" s="47"/>
    </row>
    <row r="314" spans="1:14" ht="15">
      <c r="A314" s="23"/>
      <c r="B314" s="26" t="str">
        <f>SmtRes!I178</f>
        <v>2</v>
      </c>
      <c r="C314" s="26" t="str">
        <f>SmtRes!K178</f>
        <v>Затраты труда машинистов</v>
      </c>
      <c r="D314" s="24" t="str">
        <f>SmtRes!O178</f>
        <v>чел.час</v>
      </c>
      <c r="E314" s="24">
        <f>SmtRes!Y178</f>
        <v>0.024</v>
      </c>
      <c r="F314" s="24">
        <f>SmtRes!Y178*Source!I54</f>
        <v>0.6335999999999999</v>
      </c>
      <c r="G314" s="27">
        <f>(SmtRes!AA178+SmtRes!AB178+SmtRes!AD178)</f>
        <v>0</v>
      </c>
      <c r="H314" s="28">
        <f>(SmtRes!AA178*SmtRes!Y178*Source!I54+SmtRes!AB178*SmtRes!Y178*Source!I54+SmtRes!AD178*SmtRes!Y178*Source!I54)</f>
        <v>0</v>
      </c>
      <c r="I314" s="24"/>
      <c r="J314" s="24"/>
      <c r="K314" s="28">
        <f>SmtRes!AC178*SmtRes!Y178*Source!I54</f>
        <v>0</v>
      </c>
      <c r="L314" s="24"/>
      <c r="M314" s="24"/>
      <c r="N314" s="25"/>
    </row>
    <row r="315" spans="1:14" ht="60">
      <c r="A315" s="35"/>
      <c r="B315" s="36" t="str">
        <f>SmtRes!I179</f>
        <v>060248</v>
      </c>
      <c r="C315" s="36" t="str">
        <f>SmtRes!K179</f>
        <v>Экскаваторы одноковшовые дизельные на гусеничном ходу при работе на других видах строительства 0,65 м3</v>
      </c>
      <c r="D315" s="37" t="str">
        <f>SmtRes!O179</f>
        <v>маш.ч</v>
      </c>
      <c r="E315" s="37">
        <f>SmtRes!Y179</f>
        <v>0.024</v>
      </c>
      <c r="F315" s="37">
        <f>SmtRes!Y179*Source!I54</f>
        <v>0.6335999999999999</v>
      </c>
      <c r="G315" s="38">
        <f>(SmtRes!AA179+SmtRes!AB179+SmtRes!AD179)</f>
        <v>704.35</v>
      </c>
      <c r="H315" s="39">
        <f>(SmtRes!AA179*SmtRes!Y179*Source!I54+SmtRes!AB179*SmtRes!Y179*Source!I54+SmtRes!AD179*SmtRes!Y179*Source!I54)</f>
        <v>446.27616000000006</v>
      </c>
      <c r="I315" s="37"/>
      <c r="J315" s="39">
        <f>SmtRes!AB179*SmtRes!Y179*Source!I54</f>
        <v>446.27616000000006</v>
      </c>
      <c r="K315" s="39">
        <f>SmtRes!AC179*SmtRes!Y179*Source!I54</f>
        <v>0</v>
      </c>
      <c r="L315" s="37"/>
      <c r="M315" s="37"/>
      <c r="N315" s="40"/>
    </row>
    <row r="316" spans="1:26" ht="85.5">
      <c r="A316" s="11" t="str">
        <f>IF(Source!E55&lt;&gt;"",Source!E55,"")</f>
        <v>32</v>
      </c>
      <c r="B316" s="11" t="str">
        <f>IF(Source!F55&lt;&gt;"",Source!F55,"")</f>
        <v>ФСЦП 310-3021-1</v>
      </c>
      <c r="C316" s="11" t="str">
        <f>IF(Source!G55&lt;&gt;"",Source!G55,"")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D316" s="12" t="str">
        <f>IF(Source!H55&lt;&gt;"",Source!H55,"")</f>
        <v>т</v>
      </c>
      <c r="E316" s="12" t="str">
        <f>IF(Source!J55=0," ",Source!J55)</f>
        <v> </v>
      </c>
      <c r="F316" s="13">
        <f>Source!I55</f>
        <v>26.4</v>
      </c>
      <c r="G316" s="14">
        <f>IF(Source!AB55=0," ",Source!AB55)</f>
        <v>176.47</v>
      </c>
      <c r="H316" s="15">
        <f>IF(Source!O55=0," ",Source!O55)</f>
        <v>4659</v>
      </c>
      <c r="I316" s="15" t="str">
        <f>IF(Source!S55=0," ",Source!S55)</f>
        <v> </v>
      </c>
      <c r="J316" s="15">
        <f>IF(Source!Q55=0," ",Source!Q55)</f>
        <v>4659</v>
      </c>
      <c r="K316" s="15" t="str">
        <f>IF(Source!R55=0," ",Source!R55)</f>
        <v> </v>
      </c>
      <c r="L316" s="15" t="str">
        <f>IF(Source!P55=0," ",Source!P55)</f>
        <v> </v>
      </c>
      <c r="M316" s="16" t="str">
        <f>IF(Source!U55=0," ",ROUND(Source!U55,6))</f>
        <v> </v>
      </c>
      <c r="N316" s="16" t="str">
        <f>IF(Source!V55=0," ",ROUND(Source!V55,6))</f>
        <v> </v>
      </c>
      <c r="T316">
        <f>IF(Source!O55=0," ",Source!O55)</f>
        <v>4659</v>
      </c>
      <c r="U316" t="s">
        <v>724</v>
      </c>
      <c r="V316" t="str">
        <f>IF(Source!S55=0," ",Source!S55)</f>
        <v> </v>
      </c>
      <c r="W316">
        <f>IF(Source!Q55=0," ",Source!Q55)</f>
        <v>4659</v>
      </c>
      <c r="X316" t="str">
        <f>IF(Source!R55=0," ",Source!R55)</f>
        <v> </v>
      </c>
      <c r="Y316" t="str">
        <f>IF(Source!U55=0," ",ROUND(Source!U55,6))</f>
        <v> </v>
      </c>
      <c r="Z316" t="str">
        <f>IF(Source!V55=0," ",ROUND(Source!V55,6))</f>
        <v> </v>
      </c>
    </row>
    <row r="317" spans="1:14" ht="14.25">
      <c r="A317" s="47"/>
      <c r="B317" s="47"/>
      <c r="C317" s="20" t="s">
        <v>680</v>
      </c>
      <c r="D317" s="21"/>
      <c r="E317" s="21"/>
      <c r="F317" s="21"/>
      <c r="G317" s="21"/>
      <c r="H317" s="22">
        <f>SUMIF(Source!AA55:Source!AA55,"=26994759",Source!GM55:Source!GM55)</f>
        <v>4659</v>
      </c>
      <c r="I317" s="47"/>
      <c r="J317" s="47"/>
      <c r="K317" s="47"/>
      <c r="L317" s="47"/>
      <c r="M317" s="47"/>
      <c r="N317" s="47"/>
    </row>
    <row r="318" spans="1:14" ht="15">
      <c r="A318" s="23"/>
      <c r="B318" s="26">
        <f>SmtRes!I180</f>
      </c>
      <c r="C318" s="26" t="str">
        <f>SmtRes!K180</f>
        <v>автомобиль-самосвал-10 т</v>
      </c>
      <c r="D318" s="24" t="str">
        <f>SmtRes!O180</f>
        <v>маш.-ч</v>
      </c>
      <c r="E318" s="24">
        <f>SmtRes!Y180</f>
        <v>1.518</v>
      </c>
      <c r="F318" s="24">
        <f>SmtRes!Y180*Source!I55</f>
        <v>40.075199999999995</v>
      </c>
      <c r="G318" s="27">
        <f>(SmtRes!AA180+SmtRes!AB180+SmtRes!AD180)</f>
        <v>116.25</v>
      </c>
      <c r="H318" s="28">
        <f>(SmtRes!AA180*SmtRes!Y180*Source!I55+SmtRes!AB180*SmtRes!Y180*Source!I55+SmtRes!AD180*SmtRes!Y180*Source!I55)</f>
        <v>4658.742</v>
      </c>
      <c r="I318" s="24"/>
      <c r="J318" s="28">
        <f>SmtRes!AB180*SmtRes!Y180*Source!I55</f>
        <v>4658.742</v>
      </c>
      <c r="K318" s="28">
        <f>SmtRes!AC180*SmtRes!Y180*Source!I55</f>
        <v>0</v>
      </c>
      <c r="L318" s="24"/>
      <c r="M318" s="24"/>
      <c r="N318" s="25"/>
    </row>
    <row r="319" spans="1:1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</row>
    <row r="320" spans="1:14" ht="14.25">
      <c r="A320" s="96" t="s">
        <v>269</v>
      </c>
      <c r="B320" s="96"/>
      <c r="C320" s="96"/>
      <c r="D320" s="96"/>
      <c r="E320" s="96"/>
      <c r="F320" s="96"/>
      <c r="G320" s="96"/>
      <c r="H320" s="41">
        <f>IF(SUM(T1:T319)=0," ",SUM(T1:T319))</f>
        <v>879306</v>
      </c>
      <c r="I320" s="41">
        <f>IF(SUM(V1:V319)=0," ",SUM(V1:V319))</f>
        <v>262808</v>
      </c>
      <c r="J320" s="41">
        <f>IF(SUM(W1:W319)=0," ",SUM(W1:W319))</f>
        <v>176857</v>
      </c>
      <c r="K320" s="41" t="str">
        <f>IF(SUM(X1:X319)=0," ",SUM(X1:X319))</f>
        <v> </v>
      </c>
      <c r="L320" s="41">
        <f>IF(SUM(U1:U319)=0," ",SUM(U1:U319))</f>
        <v>439641</v>
      </c>
      <c r="M320" s="41">
        <f>IF(SUM(Y1:Y319)=0," ",SUM(Y1:Y319))</f>
        <v>1905.1023320000004</v>
      </c>
      <c r="N320" s="41">
        <f>IF(SUM(Z1:Z319)=0," ",SUM(Z1:Z319))</f>
        <v>259.423524</v>
      </c>
    </row>
    <row r="321" spans="1:1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</row>
    <row r="322" spans="1:34" ht="15">
      <c r="A322" s="94" t="str">
        <f>IF(Source!H100&lt;&gt;"",Source!H100,"")</f>
        <v>Эксплуатация машин</v>
      </c>
      <c r="B322" s="94"/>
      <c r="C322" s="94"/>
      <c r="D322" s="94"/>
      <c r="E322" s="94"/>
      <c r="F322" s="94"/>
      <c r="G322" s="94"/>
      <c r="H322" s="93">
        <f>J322</f>
        <v>176857</v>
      </c>
      <c r="I322" s="47"/>
      <c r="J322" s="43">
        <f>Source!F100</f>
        <v>176857</v>
      </c>
      <c r="K322" s="47"/>
      <c r="L322" s="47"/>
      <c r="M322" s="47"/>
      <c r="N322" s="47"/>
      <c r="AH322" s="44" t="s">
        <v>237</v>
      </c>
    </row>
    <row r="323" spans="1:34" ht="15">
      <c r="A323" s="94" t="str">
        <f>IF(Source!H102&lt;&gt;"",Source!H102,"")</f>
        <v>Основная ЗП рабочих</v>
      </c>
      <c r="B323" s="94"/>
      <c r="C323" s="94"/>
      <c r="D323" s="94"/>
      <c r="E323" s="94"/>
      <c r="F323" s="94"/>
      <c r="G323" s="94"/>
      <c r="H323" s="93">
        <f>I323</f>
        <v>262808</v>
      </c>
      <c r="I323" s="43">
        <f>Source!F102</f>
        <v>262808</v>
      </c>
      <c r="J323" s="47"/>
      <c r="K323" s="47"/>
      <c r="L323" s="47"/>
      <c r="M323" s="47"/>
      <c r="N323" s="47"/>
      <c r="AH323" s="44" t="s">
        <v>241</v>
      </c>
    </row>
    <row r="324" spans="1:34" ht="15">
      <c r="A324" s="94" t="str">
        <f>IF(Source!H110&lt;&gt;"",Source!H110,"")</f>
        <v>Накладные расходы</v>
      </c>
      <c r="B324" s="94"/>
      <c r="C324" s="94"/>
      <c r="D324" s="94"/>
      <c r="E324" s="94"/>
      <c r="F324" s="94"/>
      <c r="G324" s="94"/>
      <c r="H324" s="43">
        <f>Source!F110</f>
        <v>205472</v>
      </c>
      <c r="I324" s="47"/>
      <c r="J324" s="47"/>
      <c r="K324" s="47"/>
      <c r="L324" s="47"/>
      <c r="M324" s="47"/>
      <c r="N324" s="47"/>
      <c r="AH324" s="44" t="s">
        <v>257</v>
      </c>
    </row>
    <row r="325" spans="1:34" ht="15">
      <c r="A325" s="94" t="str">
        <f>IF(Source!H111&lt;&gt;"",Source!H111,"")</f>
        <v>Сметная прибыль</v>
      </c>
      <c r="B325" s="94"/>
      <c r="C325" s="94"/>
      <c r="D325" s="94"/>
      <c r="E325" s="94"/>
      <c r="F325" s="94"/>
      <c r="G325" s="94"/>
      <c r="H325" s="43">
        <f>Source!F111</f>
        <v>124357</v>
      </c>
      <c r="I325" s="47"/>
      <c r="J325" s="47"/>
      <c r="K325" s="47"/>
      <c r="L325" s="47"/>
      <c r="M325" s="47"/>
      <c r="N325" s="47"/>
      <c r="AH325" s="44" t="s">
        <v>259</v>
      </c>
    </row>
    <row r="326" spans="1:34" ht="15">
      <c r="A326" s="94" t="str">
        <f>IF(Source!H114&lt;&gt;"",Source!H114,"")</f>
        <v>Итого</v>
      </c>
      <c r="B326" s="94"/>
      <c r="C326" s="94"/>
      <c r="D326" s="94"/>
      <c r="E326" s="94"/>
      <c r="F326" s="94"/>
      <c r="G326" s="94"/>
      <c r="H326" s="43">
        <f>Source!F114</f>
        <v>769494</v>
      </c>
      <c r="I326" s="47"/>
      <c r="J326" s="47"/>
      <c r="K326" s="47"/>
      <c r="L326" s="47"/>
      <c r="M326" s="47"/>
      <c r="N326" s="47"/>
      <c r="AH326" s="44" t="s">
        <v>263</v>
      </c>
    </row>
    <row r="327" spans="1:34" ht="15">
      <c r="A327" s="94" t="s">
        <v>806</v>
      </c>
      <c r="B327" s="94"/>
      <c r="C327" s="94"/>
      <c r="D327" s="94"/>
      <c r="E327" s="94"/>
      <c r="F327" s="94"/>
      <c r="G327" s="94"/>
      <c r="H327" s="43">
        <f>L320</f>
        <v>439641</v>
      </c>
      <c r="I327" s="47"/>
      <c r="J327" s="47"/>
      <c r="K327" s="47"/>
      <c r="L327" s="47"/>
      <c r="M327" s="47"/>
      <c r="N327" s="47"/>
      <c r="AH327" s="44"/>
    </row>
    <row r="328" spans="1:34" ht="15">
      <c r="A328" s="94" t="str">
        <f>IF(Source!H115&lt;&gt;"",Source!H115,"")</f>
        <v>Автотранспорт 7%</v>
      </c>
      <c r="B328" s="94"/>
      <c r="C328" s="94"/>
      <c r="D328" s="94"/>
      <c r="E328" s="94"/>
      <c r="F328" s="94"/>
      <c r="G328" s="94"/>
      <c r="H328" s="43">
        <f>Source!F115</f>
        <v>30775</v>
      </c>
      <c r="I328" s="47"/>
      <c r="J328" s="47"/>
      <c r="K328" s="47"/>
      <c r="L328" s="47"/>
      <c r="M328" s="47"/>
      <c r="N328" s="47"/>
      <c r="AH328" s="44" t="s">
        <v>267</v>
      </c>
    </row>
    <row r="329" spans="1:34" ht="15">
      <c r="A329" s="94" t="str">
        <f>IF(Source!H116&lt;&gt;"",Source!H116,"")</f>
        <v>Итого по смете</v>
      </c>
      <c r="B329" s="94"/>
      <c r="C329" s="94"/>
      <c r="D329" s="94"/>
      <c r="E329" s="94"/>
      <c r="F329" s="94"/>
      <c r="G329" s="94"/>
      <c r="H329" s="43">
        <f>Source!F116</f>
        <v>1239910</v>
      </c>
      <c r="I329" s="47"/>
      <c r="J329" s="47"/>
      <c r="K329" s="47"/>
      <c r="L329" s="47"/>
      <c r="M329" s="47"/>
      <c r="N329" s="47"/>
      <c r="AH329" s="44" t="s">
        <v>269</v>
      </c>
    </row>
    <row r="330" spans="1:34" ht="15">
      <c r="A330" s="94" t="str">
        <f>IF(Source!H117&lt;&gt;"",Source!H117,"")</f>
        <v>НДС 18%</v>
      </c>
      <c r="B330" s="94"/>
      <c r="C330" s="94"/>
      <c r="D330" s="94"/>
      <c r="E330" s="94"/>
      <c r="F330" s="94"/>
      <c r="G330" s="94"/>
      <c r="H330" s="43">
        <f>Source!F117</f>
        <v>223184</v>
      </c>
      <c r="I330" s="47"/>
      <c r="J330" s="47"/>
      <c r="K330" s="47"/>
      <c r="L330" s="47"/>
      <c r="M330" s="47"/>
      <c r="N330" s="47"/>
      <c r="AH330" s="44" t="s">
        <v>271</v>
      </c>
    </row>
    <row r="331" spans="1:34" ht="15">
      <c r="A331" s="95" t="str">
        <f>IF(Source!H118&lt;&gt;"",Source!H118,"")</f>
        <v>Всего по смете</v>
      </c>
      <c r="B331" s="95"/>
      <c r="C331" s="95"/>
      <c r="D331" s="95"/>
      <c r="E331" s="95"/>
      <c r="F331" s="95"/>
      <c r="G331" s="95"/>
      <c r="H331" s="92">
        <f>Source!F118</f>
        <v>1463094</v>
      </c>
      <c r="I331" s="47"/>
      <c r="J331" s="47"/>
      <c r="K331" s="47"/>
      <c r="L331" s="47"/>
      <c r="M331" s="47"/>
      <c r="N331" s="47"/>
      <c r="AH331" s="44" t="s">
        <v>273</v>
      </c>
    </row>
    <row r="332" spans="1:1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</sheetData>
  <sheetProtection/>
  <mergeCells count="34">
    <mergeCell ref="B5:E5"/>
    <mergeCell ref="B6:E6"/>
    <mergeCell ref="C10:H10"/>
    <mergeCell ref="J4:N4"/>
    <mergeCell ref="J5:N5"/>
    <mergeCell ref="J6:N6"/>
    <mergeCell ref="F1:L1"/>
    <mergeCell ref="B3:E3"/>
    <mergeCell ref="B4:E4"/>
    <mergeCell ref="J3:N3"/>
    <mergeCell ref="A11:A13"/>
    <mergeCell ref="B11:B13"/>
    <mergeCell ref="C11:C13"/>
    <mergeCell ref="D11:D13"/>
    <mergeCell ref="E11:F11"/>
    <mergeCell ref="G11:L11"/>
    <mergeCell ref="A325:G325"/>
    <mergeCell ref="M11:M13"/>
    <mergeCell ref="N11:N13"/>
    <mergeCell ref="E12:E13"/>
    <mergeCell ref="F12:F13"/>
    <mergeCell ref="G12:G13"/>
    <mergeCell ref="H12:H13"/>
    <mergeCell ref="I12:L12"/>
    <mergeCell ref="A326:G326"/>
    <mergeCell ref="A328:G328"/>
    <mergeCell ref="A329:G329"/>
    <mergeCell ref="A330:G330"/>
    <mergeCell ref="A331:G331"/>
    <mergeCell ref="A320:G320"/>
    <mergeCell ref="A322:G322"/>
    <mergeCell ref="A323:G323"/>
    <mergeCell ref="A324:G324"/>
    <mergeCell ref="A327:G327"/>
  </mergeCells>
  <printOptions/>
  <pageMargins left="0.4" right="0.2" top="0.2" bottom="0.4" header="0.2" footer="0.2"/>
  <pageSetup horizontalDpi="600" verticalDpi="600" orientation="landscape" paperSize="9" scale="70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t="s">
        <v>767</v>
      </c>
      <c r="B1" t="s">
        <v>768</v>
      </c>
      <c r="C1" t="s">
        <v>769</v>
      </c>
      <c r="D1" t="s">
        <v>770</v>
      </c>
      <c r="E1" t="s">
        <v>771</v>
      </c>
      <c r="F1" t="s">
        <v>772</v>
      </c>
      <c r="G1" t="s">
        <v>773</v>
      </c>
      <c r="H1" t="s">
        <v>774</v>
      </c>
      <c r="I1" t="s">
        <v>775</v>
      </c>
      <c r="J1" t="s">
        <v>776</v>
      </c>
    </row>
    <row r="2" spans="1:10" ht="12.75">
      <c r="A2">
        <v>1</v>
      </c>
      <c r="B2">
        <v>0</v>
      </c>
      <c r="C2">
        <v>0</v>
      </c>
      <c r="D2">
        <v>1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</row>
    <row r="4" spans="1:17" ht="12.75">
      <c r="A4" t="s">
        <v>750</v>
      </c>
      <c r="B4" t="s">
        <v>751</v>
      </c>
      <c r="C4" t="s">
        <v>752</v>
      </c>
      <c r="D4" t="s">
        <v>753</v>
      </c>
      <c r="E4" t="s">
        <v>754</v>
      </c>
      <c r="F4" t="s">
        <v>755</v>
      </c>
      <c r="G4" t="s">
        <v>756</v>
      </c>
      <c r="H4" t="s">
        <v>757</v>
      </c>
      <c r="I4" t="s">
        <v>758</v>
      </c>
      <c r="J4" t="s">
        <v>759</v>
      </c>
      <c r="K4" t="s">
        <v>760</v>
      </c>
      <c r="L4" t="s">
        <v>761</v>
      </c>
      <c r="M4" t="s">
        <v>762</v>
      </c>
      <c r="N4" t="s">
        <v>763</v>
      </c>
      <c r="O4" t="s">
        <v>764</v>
      </c>
      <c r="P4" t="s">
        <v>765</v>
      </c>
      <c r="Q4" t="s">
        <v>766</v>
      </c>
    </row>
    <row r="6" spans="1:7" ht="12.75">
      <c r="A6">
        <f>Source!A20</f>
        <v>3</v>
      </c>
      <c r="B6">
        <v>20</v>
      </c>
      <c r="G6" t="str">
        <f>Source!G20</f>
        <v>Участок изоляции+тамбур</v>
      </c>
    </row>
    <row r="7" spans="1:17" ht="12.75">
      <c r="A7">
        <f>Source!A24</f>
        <v>17</v>
      </c>
      <c r="C7">
        <v>3</v>
      </c>
      <c r="D7">
        <v>0</v>
      </c>
      <c r="E7">
        <f>SmtRes!AV11</f>
        <v>0</v>
      </c>
      <c r="F7" t="str">
        <f>SmtRes!I11</f>
        <v>101-2589</v>
      </c>
      <c r="G7" t="str">
        <f>SmtRes!K11</f>
        <v>Дюбель-гвоздь6*80</v>
      </c>
      <c r="H7" t="str">
        <f>SmtRes!O11</f>
        <v>шт.</v>
      </c>
      <c r="I7">
        <f>SmtRes!Y11*Source!I24</f>
        <v>150.93200000000002</v>
      </c>
      <c r="J7">
        <f>SmtRes!AO11</f>
        <v>0</v>
      </c>
      <c r="K7">
        <f>SmtRes!AE11</f>
        <v>2.12</v>
      </c>
      <c r="L7">
        <f aca="true" t="shared" si="0" ref="L7:L38">I7*K7</f>
        <v>319.97584000000006</v>
      </c>
      <c r="M7">
        <f>SmtRes!AA11</f>
        <v>2.12</v>
      </c>
      <c r="N7">
        <f aca="true" t="shared" si="1" ref="N7:N38">I7*M7</f>
        <v>319.97584000000006</v>
      </c>
      <c r="O7">
        <f>SmtRes!X11</f>
        <v>1179422649</v>
      </c>
      <c r="P7">
        <v>820970972</v>
      </c>
      <c r="Q7">
        <v>820970972</v>
      </c>
    </row>
    <row r="8" spans="1:17" ht="12.75">
      <c r="A8">
        <f>Source!A24</f>
        <v>17</v>
      </c>
      <c r="C8">
        <v>3</v>
      </c>
      <c r="D8">
        <v>0</v>
      </c>
      <c r="E8">
        <f>SmtRes!AV10</f>
        <v>0</v>
      </c>
      <c r="F8" t="str">
        <f>SmtRes!I10</f>
        <v>101-2582</v>
      </c>
      <c r="G8" t="str">
        <f>SmtRes!K10</f>
        <v>Шуруп самонарезающий (TN) 3,5*25 мм</v>
      </c>
      <c r="H8" t="str">
        <f>SmtRes!O10</f>
        <v>шт.</v>
      </c>
      <c r="I8">
        <f>SmtRes!Y10*Source!I24</f>
        <v>1215.2160000000001</v>
      </c>
      <c r="J8">
        <f>SmtRes!AO10</f>
        <v>0</v>
      </c>
      <c r="K8">
        <f>SmtRes!AE10</f>
        <v>0.4</v>
      </c>
      <c r="L8">
        <f t="shared" si="0"/>
        <v>486.0864000000001</v>
      </c>
      <c r="M8">
        <f>SmtRes!AA10</f>
        <v>0.4</v>
      </c>
      <c r="N8">
        <f t="shared" si="1"/>
        <v>486.0864000000001</v>
      </c>
      <c r="O8">
        <f>SmtRes!X10</f>
        <v>654904566</v>
      </c>
      <c r="P8">
        <v>1978723227</v>
      </c>
      <c r="Q8">
        <v>1978723227</v>
      </c>
    </row>
    <row r="9" spans="1:17" ht="12.75">
      <c r="A9">
        <f>Source!A24</f>
        <v>17</v>
      </c>
      <c r="C9">
        <v>3</v>
      </c>
      <c r="D9">
        <v>0</v>
      </c>
      <c r="E9">
        <f>SmtRes!AV9</f>
        <v>0</v>
      </c>
      <c r="F9" t="str">
        <f>SmtRes!I9</f>
        <v>101-2515</v>
      </c>
      <c r="G9" t="str">
        <f>SmtRes!K9</f>
        <v>Листы ГВЛВ</v>
      </c>
      <c r="H9" t="str">
        <f>SmtRes!O9</f>
        <v>м2</v>
      </c>
      <c r="I9">
        <f>SmtRes!Y9*Source!I24</f>
        <v>43.068</v>
      </c>
      <c r="J9">
        <f>SmtRes!AO9</f>
        <v>0</v>
      </c>
      <c r="K9">
        <f>SmtRes!AE9</f>
        <v>150</v>
      </c>
      <c r="L9">
        <f t="shared" si="0"/>
        <v>6460.2</v>
      </c>
      <c r="M9">
        <f>SmtRes!AA9</f>
        <v>150</v>
      </c>
      <c r="N9">
        <f t="shared" si="1"/>
        <v>6460.2</v>
      </c>
      <c r="O9">
        <f>SmtRes!X9</f>
        <v>-574873984</v>
      </c>
      <c r="P9">
        <v>1711151055</v>
      </c>
      <c r="Q9">
        <v>1711151055</v>
      </c>
    </row>
    <row r="10" spans="1:17" ht="12.75">
      <c r="A10">
        <f>Source!A24</f>
        <v>17</v>
      </c>
      <c r="C10">
        <v>3</v>
      </c>
      <c r="D10">
        <v>0</v>
      </c>
      <c r="E10">
        <f>SmtRes!AV8</f>
        <v>0</v>
      </c>
      <c r="F10" t="str">
        <f>SmtRes!I8</f>
        <v>101-2439</v>
      </c>
      <c r="G10" t="str">
        <f>SmtRes!K8</f>
        <v>Шпаклевка гипсовая</v>
      </c>
      <c r="H10" t="str">
        <f>SmtRes!O8</f>
        <v>кг</v>
      </c>
      <c r="I10">
        <f>SmtRes!Y8*Source!I24</f>
        <v>21.728</v>
      </c>
      <c r="J10">
        <f>SmtRes!AO8</f>
        <v>0</v>
      </c>
      <c r="K10">
        <f>SmtRes!AE8</f>
        <v>15.15</v>
      </c>
      <c r="L10">
        <f t="shared" si="0"/>
        <v>329.17920000000004</v>
      </c>
      <c r="M10">
        <f>SmtRes!AA8</f>
        <v>15.15</v>
      </c>
      <c r="N10">
        <f t="shared" si="1"/>
        <v>329.17920000000004</v>
      </c>
      <c r="O10">
        <f>SmtRes!X8</f>
        <v>-245117317</v>
      </c>
      <c r="P10">
        <v>-18991123</v>
      </c>
      <c r="Q10">
        <v>-18991123</v>
      </c>
    </row>
    <row r="11" spans="1:17" ht="12.75">
      <c r="A11">
        <f>Source!A24</f>
        <v>17</v>
      </c>
      <c r="C11">
        <v>3</v>
      </c>
      <c r="D11">
        <v>0</v>
      </c>
      <c r="E11">
        <f>SmtRes!AV7</f>
        <v>0</v>
      </c>
      <c r="F11" t="str">
        <f>SmtRes!I7</f>
        <v>101-2430</v>
      </c>
      <c r="G11" t="str">
        <f>SmtRes!K7</f>
        <v>Грунтовка «Тифенгрунд», КНАУФ</v>
      </c>
      <c r="H11" t="str">
        <f>SmtRes!O7</f>
        <v>кг</v>
      </c>
      <c r="I11">
        <f>SmtRes!Y7*Source!I24</f>
        <v>4.268</v>
      </c>
      <c r="J11">
        <f>SmtRes!AO7</f>
        <v>0</v>
      </c>
      <c r="K11">
        <f>SmtRes!AE7</f>
        <v>35.59</v>
      </c>
      <c r="L11">
        <f t="shared" si="0"/>
        <v>151.89812</v>
      </c>
      <c r="M11">
        <f>SmtRes!AA7</f>
        <v>35.59</v>
      </c>
      <c r="N11">
        <f t="shared" si="1"/>
        <v>151.89812</v>
      </c>
      <c r="O11">
        <f>SmtRes!X7</f>
        <v>1320966599</v>
      </c>
      <c r="P11">
        <v>-1771285487</v>
      </c>
      <c r="Q11">
        <v>-1771285487</v>
      </c>
    </row>
    <row r="12" spans="1:17" ht="12.75">
      <c r="A12">
        <f>Source!A24</f>
        <v>17</v>
      </c>
      <c r="C12">
        <v>3</v>
      </c>
      <c r="D12">
        <v>0</v>
      </c>
      <c r="E12">
        <f>SmtRes!AV6</f>
        <v>0</v>
      </c>
      <c r="F12">
        <f>SmtRes!I6</f>
      </c>
      <c r="G12" t="str">
        <f>SmtRes!K6</f>
        <v>Профиль ПГС 100С 1,0 мм</v>
      </c>
      <c r="H12" t="str">
        <f>SmtRes!O6</f>
        <v>м</v>
      </c>
      <c r="I12">
        <f>SmtRes!Y6*Source!I24</f>
        <v>163.348</v>
      </c>
      <c r="J12">
        <f>SmtRes!AO6</f>
        <v>0</v>
      </c>
      <c r="K12">
        <f>SmtRes!AE6</f>
        <v>171.18</v>
      </c>
      <c r="L12">
        <f t="shared" si="0"/>
        <v>27961.910640000002</v>
      </c>
      <c r="M12">
        <f>SmtRes!AA6</f>
        <v>171.18</v>
      </c>
      <c r="N12">
        <f t="shared" si="1"/>
        <v>27961.910640000002</v>
      </c>
      <c r="O12">
        <f>SmtRes!X6</f>
        <v>-271784490</v>
      </c>
      <c r="P12">
        <v>1520639814</v>
      </c>
      <c r="Q12">
        <v>1520639814</v>
      </c>
    </row>
    <row r="13" spans="1:17" ht="12.75">
      <c r="A13">
        <f>Source!A24</f>
        <v>17</v>
      </c>
      <c r="C13">
        <v>3</v>
      </c>
      <c r="D13">
        <v>0</v>
      </c>
      <c r="E13">
        <f>SmtRes!AV5</f>
        <v>0</v>
      </c>
      <c r="F13">
        <f>SmtRes!I5</f>
      </c>
      <c r="G13" t="str">
        <f>SmtRes!K5</f>
        <v>Лента серпянка 50 м</v>
      </c>
      <c r="H13" t="str">
        <f>SmtRes!O5</f>
        <v>ШТ</v>
      </c>
      <c r="I13">
        <f>SmtRes!Y5*Source!I24</f>
        <v>0.95448</v>
      </c>
      <c r="J13">
        <f>SmtRes!AO5</f>
        <v>0</v>
      </c>
      <c r="K13">
        <f>SmtRes!AE5</f>
        <v>114</v>
      </c>
      <c r="L13">
        <f t="shared" si="0"/>
        <v>108.81072</v>
      </c>
      <c r="M13">
        <f>SmtRes!AA5</f>
        <v>114</v>
      </c>
      <c r="N13">
        <f t="shared" si="1"/>
        <v>108.81072</v>
      </c>
      <c r="O13">
        <f>SmtRes!X5</f>
        <v>1501202695</v>
      </c>
      <c r="P13">
        <v>2072340203</v>
      </c>
      <c r="Q13">
        <v>2072340203</v>
      </c>
    </row>
    <row r="14" spans="1:17" ht="12.75">
      <c r="A14">
        <f>Source!A25</f>
        <v>17</v>
      </c>
      <c r="C14">
        <v>3</v>
      </c>
      <c r="D14">
        <v>0</v>
      </c>
      <c r="E14">
        <f>SmtRes!AV16</f>
        <v>0</v>
      </c>
      <c r="F14">
        <f>SmtRes!I16</f>
      </c>
      <c r="G14" t="str">
        <f>SmtRes!K16</f>
        <v>Саморезы</v>
      </c>
      <c r="H14" t="str">
        <f>SmtRes!O16</f>
        <v>шт.</v>
      </c>
      <c r="I14">
        <f>SmtRes!Y16*Source!I25</f>
        <v>1215.2160000000001</v>
      </c>
      <c r="J14">
        <f>SmtRes!AO16</f>
        <v>0</v>
      </c>
      <c r="K14">
        <f>SmtRes!AE16</f>
        <v>0.4</v>
      </c>
      <c r="L14">
        <f t="shared" si="0"/>
        <v>486.0864000000001</v>
      </c>
      <c r="M14">
        <f>SmtRes!AA16</f>
        <v>0.4</v>
      </c>
      <c r="N14">
        <f t="shared" si="1"/>
        <v>486.0864000000001</v>
      </c>
      <c r="O14">
        <f>SmtRes!X16</f>
        <v>330517851</v>
      </c>
      <c r="P14">
        <v>652193118</v>
      </c>
      <c r="Q14">
        <v>652193118</v>
      </c>
    </row>
    <row r="15" spans="1:17" ht="12.75">
      <c r="A15">
        <f>Source!A25</f>
        <v>17</v>
      </c>
      <c r="C15">
        <v>3</v>
      </c>
      <c r="D15">
        <v>0</v>
      </c>
      <c r="E15">
        <f>SmtRes!AV15</f>
        <v>0</v>
      </c>
      <c r="F15">
        <f>SmtRes!I15</f>
      </c>
      <c r="G15" t="str">
        <f>SmtRes!K15</f>
        <v>Листы ГВЛВ</v>
      </c>
      <c r="H15" t="str">
        <f>SmtRes!O15</f>
        <v>м2</v>
      </c>
      <c r="I15">
        <f>SmtRes!Y15*Source!I25</f>
        <v>40.74</v>
      </c>
      <c r="J15">
        <f>SmtRes!AO15</f>
        <v>0</v>
      </c>
      <c r="K15">
        <f>SmtRes!AE15</f>
        <v>150</v>
      </c>
      <c r="L15">
        <f t="shared" si="0"/>
        <v>6111</v>
      </c>
      <c r="M15">
        <f>SmtRes!AA15</f>
        <v>150</v>
      </c>
      <c r="N15">
        <f t="shared" si="1"/>
        <v>6111</v>
      </c>
      <c r="O15">
        <f>SmtRes!X15</f>
        <v>-127477889</v>
      </c>
      <c r="P15">
        <v>-1340506790</v>
      </c>
      <c r="Q15">
        <v>-1340506790</v>
      </c>
    </row>
    <row r="16" spans="1:17" ht="12.75">
      <c r="A16">
        <f>Source!A26</f>
        <v>17</v>
      </c>
      <c r="C16">
        <v>3</v>
      </c>
      <c r="D16">
        <v>0</v>
      </c>
      <c r="E16">
        <f>SmtRes!AV20</f>
        <v>0</v>
      </c>
      <c r="F16" t="str">
        <f>SmtRes!I20</f>
        <v>104-9163</v>
      </c>
      <c r="G16" t="str">
        <f>SmtRes!K20</f>
        <v>Изделия теплоизоляционные</v>
      </c>
      <c r="H16" t="str">
        <f>SmtRes!O20</f>
        <v>м3</v>
      </c>
      <c r="I16">
        <f>SmtRes!Y20*Source!I26</f>
        <v>3.9576</v>
      </c>
      <c r="J16">
        <f>SmtRes!AO20</f>
        <v>0</v>
      </c>
      <c r="K16">
        <f>SmtRes!AE20</f>
        <v>3946.75</v>
      </c>
      <c r="L16">
        <f t="shared" si="0"/>
        <v>15619.657799999999</v>
      </c>
      <c r="M16">
        <f>SmtRes!AA20</f>
        <v>3946.75</v>
      </c>
      <c r="N16">
        <f t="shared" si="1"/>
        <v>15619.657799999999</v>
      </c>
      <c r="O16">
        <f>SmtRes!X20</f>
        <v>-195020439</v>
      </c>
      <c r="P16">
        <v>-123133817</v>
      </c>
      <c r="Q16">
        <v>-123133817</v>
      </c>
    </row>
    <row r="17" spans="1:17" ht="12.75">
      <c r="A17">
        <f>Source!A27</f>
        <v>17</v>
      </c>
      <c r="C17">
        <v>3</v>
      </c>
      <c r="D17">
        <v>0</v>
      </c>
      <c r="E17">
        <f>SmtRes!AV23</f>
        <v>0</v>
      </c>
      <c r="F17" t="str">
        <f>SmtRes!I23</f>
        <v>113-9462</v>
      </c>
      <c r="G17" t="str">
        <f>SmtRes!K23</f>
        <v>Пароизоляция</v>
      </c>
      <c r="H17" t="str">
        <f>SmtRes!O23</f>
        <v>м2</v>
      </c>
      <c r="I17">
        <f>SmtRes!Y23*Source!I27</f>
        <v>89.24000000000001</v>
      </c>
      <c r="J17">
        <f>SmtRes!AO23</f>
        <v>0</v>
      </c>
      <c r="K17">
        <f>SmtRes!AE23</f>
        <v>27.12</v>
      </c>
      <c r="L17">
        <f t="shared" si="0"/>
        <v>2420.1888000000004</v>
      </c>
      <c r="M17">
        <f>SmtRes!AA23</f>
        <v>27.12</v>
      </c>
      <c r="N17">
        <f t="shared" si="1"/>
        <v>2420.1888000000004</v>
      </c>
      <c r="O17">
        <f>SmtRes!X23</f>
        <v>126537040</v>
      </c>
      <c r="P17">
        <v>1664792354</v>
      </c>
      <c r="Q17">
        <v>1664792354</v>
      </c>
    </row>
    <row r="18" spans="1:17" ht="12.75">
      <c r="A18">
        <f>Source!A27</f>
        <v>17</v>
      </c>
      <c r="C18">
        <v>3</v>
      </c>
      <c r="D18">
        <v>0</v>
      </c>
      <c r="E18">
        <f>SmtRes!AV22</f>
        <v>0</v>
      </c>
      <c r="F18" t="str">
        <f>SmtRes!I22</f>
        <v>101-3594</v>
      </c>
      <c r="G18" t="str">
        <f>SmtRes!K22</f>
        <v>Лента полиэтиленовая с липким слоем А50</v>
      </c>
      <c r="H18" t="str">
        <f>SmtRes!O22</f>
        <v>шт.</v>
      </c>
      <c r="I18">
        <f>SmtRes!Y22*Source!I27</f>
        <v>5.760248</v>
      </c>
      <c r="J18">
        <f>SmtRes!AO22</f>
        <v>0</v>
      </c>
      <c r="K18">
        <f>SmtRes!AE22</f>
        <v>112</v>
      </c>
      <c r="L18">
        <f t="shared" si="0"/>
        <v>645.147776</v>
      </c>
      <c r="M18">
        <f>SmtRes!AA22</f>
        <v>112</v>
      </c>
      <c r="N18">
        <f t="shared" si="1"/>
        <v>645.147776</v>
      </c>
      <c r="O18">
        <f>SmtRes!X22</f>
        <v>931686825</v>
      </c>
      <c r="P18">
        <v>1778209816</v>
      </c>
      <c r="Q18">
        <v>1778209816</v>
      </c>
    </row>
    <row r="19" spans="1:17" ht="12.75">
      <c r="A19">
        <f>Source!A28</f>
        <v>17</v>
      </c>
      <c r="C19">
        <v>3</v>
      </c>
      <c r="D19">
        <v>0</v>
      </c>
      <c r="E19">
        <f>SmtRes!AV28</f>
        <v>0</v>
      </c>
      <c r="F19" t="str">
        <f>SmtRes!I28</f>
        <v>101-9732</v>
      </c>
      <c r="G19" t="str">
        <f>SmtRes!K28</f>
        <v>Грунтовка</v>
      </c>
      <c r="H19" t="str">
        <f>SmtRes!O28</f>
        <v>т</v>
      </c>
      <c r="I19">
        <f>SmtRes!Y28*Source!I28</f>
        <v>0.005044</v>
      </c>
      <c r="J19">
        <f>SmtRes!AO28</f>
        <v>0</v>
      </c>
      <c r="K19">
        <f>SmtRes!AE28</f>
        <v>35593.22</v>
      </c>
      <c r="L19">
        <f t="shared" si="0"/>
        <v>179.53220168000001</v>
      </c>
      <c r="M19">
        <f>SmtRes!AA28</f>
        <v>35593.22</v>
      </c>
      <c r="N19">
        <f t="shared" si="1"/>
        <v>179.53220168000001</v>
      </c>
      <c r="O19">
        <f>SmtRes!X28</f>
        <v>1785764018</v>
      </c>
      <c r="P19">
        <v>-1362092224</v>
      </c>
      <c r="Q19">
        <v>-1362092224</v>
      </c>
    </row>
    <row r="20" spans="1:17" ht="12.75">
      <c r="A20">
        <f>Source!A28</f>
        <v>17</v>
      </c>
      <c r="C20">
        <v>3</v>
      </c>
      <c r="D20">
        <v>0</v>
      </c>
      <c r="E20">
        <f>SmtRes!AV27</f>
        <v>0</v>
      </c>
      <c r="F20" t="str">
        <f>SmtRes!I27</f>
        <v>101-1757</v>
      </c>
      <c r="G20" t="str">
        <f>SmtRes!K27</f>
        <v>Ветошь</v>
      </c>
      <c r="H20" t="str">
        <f>SmtRes!O27</f>
        <v>кг</v>
      </c>
      <c r="I20">
        <f>SmtRes!Y27*Source!I28</f>
        <v>0.0388</v>
      </c>
      <c r="J20">
        <f>SmtRes!AO27</f>
        <v>0</v>
      </c>
      <c r="K20">
        <f>SmtRes!AE27</f>
        <v>52.32</v>
      </c>
      <c r="L20">
        <f t="shared" si="0"/>
        <v>2.0300160000000003</v>
      </c>
      <c r="M20">
        <f>SmtRes!AA27</f>
        <v>52.32</v>
      </c>
      <c r="N20">
        <f t="shared" si="1"/>
        <v>2.0300160000000003</v>
      </c>
      <c r="O20">
        <f>SmtRes!X27</f>
        <v>-294913766</v>
      </c>
      <c r="P20">
        <v>838672520</v>
      </c>
      <c r="Q20">
        <v>838672520</v>
      </c>
    </row>
    <row r="21" spans="1:17" ht="12.75">
      <c r="A21">
        <f>Source!A29</f>
        <v>17</v>
      </c>
      <c r="C21">
        <v>3</v>
      </c>
      <c r="D21">
        <v>0</v>
      </c>
      <c r="E21">
        <f>SmtRes!AV30</f>
        <v>0</v>
      </c>
      <c r="F21">
        <f>SmtRes!I30</f>
      </c>
      <c r="G21" t="str">
        <f>SmtRes!K30</f>
        <v>Шпаклевка гипсовая</v>
      </c>
      <c r="H21" t="str">
        <f>SmtRes!O30</f>
        <v>т</v>
      </c>
      <c r="I21">
        <f>SmtRes!Y30*Source!I29</f>
        <v>0.0313504</v>
      </c>
      <c r="J21">
        <f>SmtRes!AO30</f>
        <v>0</v>
      </c>
      <c r="K21">
        <f>SmtRes!AE30</f>
        <v>15152.43</v>
      </c>
      <c r="L21">
        <f t="shared" si="0"/>
        <v>475.034741472</v>
      </c>
      <c r="M21">
        <f>SmtRes!AA30</f>
        <v>15152.43</v>
      </c>
      <c r="N21">
        <f t="shared" si="1"/>
        <v>475.034741472</v>
      </c>
      <c r="O21">
        <f>SmtRes!X30</f>
        <v>-1369614013</v>
      </c>
      <c r="P21">
        <v>1543541134</v>
      </c>
      <c r="Q21">
        <v>1543541134</v>
      </c>
    </row>
    <row r="22" spans="1:17" ht="12.75">
      <c r="A22">
        <f>Source!A30</f>
        <v>17</v>
      </c>
      <c r="C22">
        <v>3</v>
      </c>
      <c r="D22">
        <v>0</v>
      </c>
      <c r="E22">
        <f>SmtRes!AV38</f>
        <v>0</v>
      </c>
      <c r="F22" t="str">
        <f>SmtRes!I38</f>
        <v>101-1959</v>
      </c>
      <c r="G22" t="str">
        <f>SmtRes!K38</f>
        <v>Краска ХВ-785</v>
      </c>
      <c r="H22" t="str">
        <f>SmtRes!O38</f>
        <v>т</v>
      </c>
      <c r="I22">
        <f>SmtRes!Y38*Source!I30</f>
        <v>0.022116</v>
      </c>
      <c r="J22">
        <f>SmtRes!AO38</f>
        <v>0</v>
      </c>
      <c r="K22">
        <f>SmtRes!AE38</f>
        <v>106810</v>
      </c>
      <c r="L22">
        <f t="shared" si="0"/>
        <v>2362.20996</v>
      </c>
      <c r="M22">
        <f>SmtRes!AA38</f>
        <v>106810</v>
      </c>
      <c r="N22">
        <f t="shared" si="1"/>
        <v>2362.20996</v>
      </c>
      <c r="O22">
        <f>SmtRes!X38</f>
        <v>1835545494</v>
      </c>
      <c r="P22">
        <v>-304996022</v>
      </c>
      <c r="Q22">
        <v>-304996022</v>
      </c>
    </row>
    <row r="23" spans="1:17" ht="12.75">
      <c r="A23">
        <f>Source!A30</f>
        <v>17</v>
      </c>
      <c r="C23">
        <v>3</v>
      </c>
      <c r="D23">
        <v>0</v>
      </c>
      <c r="E23">
        <f>SmtRes!AV37</f>
        <v>0</v>
      </c>
      <c r="F23" t="str">
        <f>SmtRes!I37</f>
        <v>101-1757</v>
      </c>
      <c r="G23" t="str">
        <f>SmtRes!K37</f>
        <v>Ветошь</v>
      </c>
      <c r="H23" t="str">
        <f>SmtRes!O37</f>
        <v>кг</v>
      </c>
      <c r="I23">
        <f>SmtRes!Y37*Source!I30</f>
        <v>0.04268</v>
      </c>
      <c r="J23">
        <f>SmtRes!AO37</f>
        <v>0</v>
      </c>
      <c r="K23">
        <f>SmtRes!AE37</f>
        <v>52.32</v>
      </c>
      <c r="L23">
        <f t="shared" si="0"/>
        <v>2.2330176</v>
      </c>
      <c r="M23">
        <f>SmtRes!AA37</f>
        <v>52.32</v>
      </c>
      <c r="N23">
        <f t="shared" si="1"/>
        <v>2.2330176</v>
      </c>
      <c r="O23">
        <f>SmtRes!X37</f>
        <v>-294913766</v>
      </c>
      <c r="P23">
        <v>838672520</v>
      </c>
      <c r="Q23">
        <v>838672520</v>
      </c>
    </row>
    <row r="24" spans="1:17" ht="12.75">
      <c r="A24">
        <f>Source!A30</f>
        <v>17</v>
      </c>
      <c r="C24">
        <v>3</v>
      </c>
      <c r="D24">
        <v>0</v>
      </c>
      <c r="E24">
        <f>SmtRes!AV36</f>
        <v>0</v>
      </c>
      <c r="F24" t="str">
        <f>SmtRes!I36</f>
        <v>101-1712</v>
      </c>
      <c r="G24" t="str">
        <f>SmtRes!K36</f>
        <v>Шпаклевка гипсовая</v>
      </c>
      <c r="H24" t="str">
        <f>SmtRes!O36</f>
        <v>т</v>
      </c>
      <c r="I24">
        <f>SmtRes!Y36*Source!I30</f>
        <v>0.002134</v>
      </c>
      <c r="J24">
        <f>SmtRes!AO36</f>
        <v>0</v>
      </c>
      <c r="K24">
        <f>SmtRes!AE36</f>
        <v>15152.43</v>
      </c>
      <c r="L24">
        <f t="shared" si="0"/>
        <v>32.33528562</v>
      </c>
      <c r="M24">
        <f>SmtRes!AA36</f>
        <v>15152.43</v>
      </c>
      <c r="N24">
        <f t="shared" si="1"/>
        <v>32.33528562</v>
      </c>
      <c r="O24">
        <f>SmtRes!X36</f>
        <v>76460565</v>
      </c>
      <c r="P24">
        <v>-770101224</v>
      </c>
      <c r="Q24">
        <v>-770101224</v>
      </c>
    </row>
    <row r="25" spans="1:17" ht="12.75">
      <c r="A25">
        <f>Source!A30</f>
        <v>17</v>
      </c>
      <c r="C25">
        <v>3</v>
      </c>
      <c r="D25">
        <v>0</v>
      </c>
      <c r="E25">
        <f>SmtRes!AV35</f>
        <v>0</v>
      </c>
      <c r="F25" t="str">
        <f>SmtRes!I35</f>
        <v>101-1596</v>
      </c>
      <c r="G25" t="str">
        <f>SmtRes!K35</f>
        <v>Шкурка шлифовальная двухслойная с зернистостью 40-25</v>
      </c>
      <c r="H25" t="str">
        <f>SmtRes!O35</f>
        <v>м2</v>
      </c>
      <c r="I25">
        <f>SmtRes!Y35*Source!I30</f>
        <v>0.12804000000000001</v>
      </c>
      <c r="J25">
        <f>SmtRes!AO35</f>
        <v>0</v>
      </c>
      <c r="K25">
        <f>SmtRes!AE35</f>
        <v>406.78</v>
      </c>
      <c r="L25">
        <f t="shared" si="0"/>
        <v>52.0841112</v>
      </c>
      <c r="M25">
        <f>SmtRes!AA35</f>
        <v>406.78</v>
      </c>
      <c r="N25">
        <f t="shared" si="1"/>
        <v>52.0841112</v>
      </c>
      <c r="O25">
        <f>SmtRes!X35</f>
        <v>1375622301</v>
      </c>
      <c r="P25">
        <v>-949515704</v>
      </c>
      <c r="Q25">
        <v>-949515704</v>
      </c>
    </row>
    <row r="26" spans="1:17" ht="12.75">
      <c r="A26">
        <f>Source!A31</f>
        <v>17</v>
      </c>
      <c r="C26">
        <v>3</v>
      </c>
      <c r="D26">
        <v>0</v>
      </c>
      <c r="E26">
        <f>SmtRes!AV43</f>
        <v>0</v>
      </c>
      <c r="F26" t="str">
        <f>SmtRes!I43</f>
        <v>101-9732</v>
      </c>
      <c r="G26" t="str">
        <f>SmtRes!K43</f>
        <v>Грунтовка</v>
      </c>
      <c r="H26" t="str">
        <f>SmtRes!O43</f>
        <v>т</v>
      </c>
      <c r="I26">
        <f>SmtRes!Y43*Source!I31</f>
        <v>0.009594</v>
      </c>
      <c r="J26">
        <f>SmtRes!AO43</f>
        <v>0</v>
      </c>
      <c r="K26">
        <f>SmtRes!AE43</f>
        <v>38983.05</v>
      </c>
      <c r="L26">
        <f t="shared" si="0"/>
        <v>374.00338170000003</v>
      </c>
      <c r="M26">
        <f>SmtRes!AA43</f>
        <v>38983.05</v>
      </c>
      <c r="N26">
        <f t="shared" si="1"/>
        <v>374.00338170000003</v>
      </c>
      <c r="O26">
        <f>SmtRes!X43</f>
        <v>-1698187799</v>
      </c>
      <c r="P26">
        <v>-1579021760</v>
      </c>
      <c r="Q26">
        <v>-1579021760</v>
      </c>
    </row>
    <row r="27" spans="1:17" ht="12.75">
      <c r="A27">
        <f>Source!A31</f>
        <v>17</v>
      </c>
      <c r="C27">
        <v>3</v>
      </c>
      <c r="D27">
        <v>0</v>
      </c>
      <c r="E27">
        <f>SmtRes!AV42</f>
        <v>0</v>
      </c>
      <c r="F27" t="str">
        <f>SmtRes!I42</f>
        <v>101-1757</v>
      </c>
      <c r="G27" t="str">
        <f>SmtRes!K42</f>
        <v>Ветошь</v>
      </c>
      <c r="H27" t="str">
        <f>SmtRes!O42</f>
        <v>кг</v>
      </c>
      <c r="I27">
        <f>SmtRes!Y42*Source!I31</f>
        <v>0.0738</v>
      </c>
      <c r="J27">
        <f>SmtRes!AO42</f>
        <v>0</v>
      </c>
      <c r="K27">
        <f>SmtRes!AE42</f>
        <v>52.82</v>
      </c>
      <c r="L27">
        <f t="shared" si="0"/>
        <v>3.8981160000000004</v>
      </c>
      <c r="M27">
        <f>SmtRes!AA42</f>
        <v>52.82</v>
      </c>
      <c r="N27">
        <f t="shared" si="1"/>
        <v>3.8981160000000004</v>
      </c>
      <c r="O27">
        <f>SmtRes!X42</f>
        <v>371875709</v>
      </c>
      <c r="P27">
        <v>-1269851874</v>
      </c>
      <c r="Q27">
        <v>-1269851874</v>
      </c>
    </row>
    <row r="28" spans="1:17" ht="12.75">
      <c r="A28">
        <f>Source!A32</f>
        <v>17</v>
      </c>
      <c r="C28">
        <v>3</v>
      </c>
      <c r="D28">
        <v>0</v>
      </c>
      <c r="E28">
        <f>SmtRes!AV45</f>
        <v>0</v>
      </c>
      <c r="F28">
        <f>SmtRes!I45</f>
      </c>
      <c r="G28" t="str">
        <f>SmtRes!K45</f>
        <v>Профиль перфорированный маячковый</v>
      </c>
      <c r="H28" t="str">
        <f>SmtRes!O45</f>
        <v>ШТ</v>
      </c>
      <c r="I28">
        <f>SmtRes!Y45*Source!I32</f>
        <v>76.63846153846153</v>
      </c>
      <c r="J28">
        <f>SmtRes!AO45</f>
        <v>0</v>
      </c>
      <c r="K28">
        <f>SmtRes!AE45</f>
        <v>25.42</v>
      </c>
      <c r="L28">
        <f t="shared" si="0"/>
        <v>1948.1496923076922</v>
      </c>
      <c r="M28">
        <f>SmtRes!AA45</f>
        <v>25.42</v>
      </c>
      <c r="N28">
        <f t="shared" si="1"/>
        <v>1948.1496923076922</v>
      </c>
      <c r="O28">
        <f>SmtRes!X45</f>
        <v>-1660205409</v>
      </c>
      <c r="P28">
        <v>262953677</v>
      </c>
      <c r="Q28">
        <v>262953677</v>
      </c>
    </row>
    <row r="29" spans="1:17" ht="12.75">
      <c r="A29">
        <f>Source!A33</f>
        <v>17</v>
      </c>
      <c r="C29">
        <v>3</v>
      </c>
      <c r="D29">
        <v>0</v>
      </c>
      <c r="E29">
        <f>SmtRes!AV50</f>
        <v>0</v>
      </c>
      <c r="F29" t="str">
        <f>SmtRes!I50</f>
        <v>405-0219</v>
      </c>
      <c r="G29" t="str">
        <f>SmtRes!K50</f>
        <v>Гипсовые вяжущие, марка Г3</v>
      </c>
      <c r="H29" t="str">
        <f>SmtRes!O50</f>
        <v>т</v>
      </c>
      <c r="I29">
        <f>SmtRes!Y50*Source!I33</f>
        <v>0.1845</v>
      </c>
      <c r="J29">
        <f>SmtRes!AO50</f>
        <v>0</v>
      </c>
      <c r="K29">
        <f>SmtRes!AE50</f>
        <v>10362.67</v>
      </c>
      <c r="L29">
        <f t="shared" si="0"/>
        <v>1911.912615</v>
      </c>
      <c r="M29">
        <f>SmtRes!AA50</f>
        <v>10362.67</v>
      </c>
      <c r="N29">
        <f t="shared" si="1"/>
        <v>1911.912615</v>
      </c>
      <c r="O29">
        <f>SmtRes!X50</f>
        <v>-394883245</v>
      </c>
      <c r="P29">
        <v>-1294595037</v>
      </c>
      <c r="Q29">
        <v>-1294595037</v>
      </c>
    </row>
    <row r="30" spans="1:17" ht="12.75">
      <c r="A30">
        <f>Source!A33</f>
        <v>17</v>
      </c>
      <c r="C30">
        <v>3</v>
      </c>
      <c r="D30">
        <v>0</v>
      </c>
      <c r="E30">
        <f>SmtRes!AV49</f>
        <v>0</v>
      </c>
      <c r="F30" t="str">
        <f>SmtRes!I49</f>
        <v>101-0874</v>
      </c>
      <c r="G30" t="str">
        <f>SmtRes!K49</f>
        <v>Сетка тканая с квадратными ячейками № 05 без покрытия</v>
      </c>
      <c r="H30" t="str">
        <f>SmtRes!O49</f>
        <v>м2</v>
      </c>
      <c r="I30">
        <f>SmtRes!Y49*Source!I33</f>
        <v>81.17999999999999</v>
      </c>
      <c r="J30">
        <f>SmtRes!AO49</f>
        <v>0</v>
      </c>
      <c r="K30">
        <f>SmtRes!AE49</f>
        <v>71.19</v>
      </c>
      <c r="L30">
        <f t="shared" si="0"/>
        <v>5779.204199999999</v>
      </c>
      <c r="M30">
        <f>SmtRes!AA49</f>
        <v>71.19</v>
      </c>
      <c r="N30">
        <f t="shared" si="1"/>
        <v>5779.204199999999</v>
      </c>
      <c r="O30">
        <f>SmtRes!X49</f>
        <v>1476079038</v>
      </c>
      <c r="P30">
        <v>846547371</v>
      </c>
      <c r="Q30">
        <v>846547371</v>
      </c>
    </row>
    <row r="31" spans="1:17" ht="12.75">
      <c r="A31">
        <f>Source!A34</f>
        <v>17</v>
      </c>
      <c r="C31">
        <v>3</v>
      </c>
      <c r="D31">
        <v>0</v>
      </c>
      <c r="E31">
        <f>SmtRes!AV58</f>
        <v>0</v>
      </c>
      <c r="F31" t="str">
        <f>SmtRes!I58</f>
        <v>405-0219</v>
      </c>
      <c r="G31" t="str">
        <f>SmtRes!K58</f>
        <v>Гипсовые вяжущие, марка Г3</v>
      </c>
      <c r="H31" t="str">
        <f>SmtRes!O58</f>
        <v>т</v>
      </c>
      <c r="I31">
        <f>SmtRes!Y58*Source!I34</f>
        <v>0.008856</v>
      </c>
      <c r="J31">
        <f>SmtRes!AO58</f>
        <v>0</v>
      </c>
      <c r="K31">
        <f>SmtRes!AE58</f>
        <v>10169.49</v>
      </c>
      <c r="L31">
        <f t="shared" si="0"/>
        <v>90.06100344</v>
      </c>
      <c r="M31">
        <f>SmtRes!AA58</f>
        <v>10169.49</v>
      </c>
      <c r="N31">
        <f t="shared" si="1"/>
        <v>90.06100344</v>
      </c>
      <c r="O31">
        <f>SmtRes!X58</f>
        <v>-394883245</v>
      </c>
      <c r="P31">
        <v>-40802900</v>
      </c>
      <c r="Q31">
        <v>-40802900</v>
      </c>
    </row>
    <row r="32" spans="1:17" ht="12.75">
      <c r="A32">
        <f>Source!A34</f>
        <v>17</v>
      </c>
      <c r="C32">
        <v>3</v>
      </c>
      <c r="D32">
        <v>0</v>
      </c>
      <c r="E32">
        <f>SmtRes!AV56</f>
        <v>0</v>
      </c>
      <c r="F32" t="str">
        <f>SmtRes!I56</f>
        <v>101-0874</v>
      </c>
      <c r="G32" t="str">
        <f>SmtRes!K56</f>
        <v>Сетка тканая с квадратными ячейками № 05 без покрытия</v>
      </c>
      <c r="H32" t="str">
        <f>SmtRes!O56</f>
        <v>м2</v>
      </c>
      <c r="I32">
        <f>SmtRes!Y56*Source!I34</f>
        <v>4.08852</v>
      </c>
      <c r="J32">
        <f>SmtRes!AO56</f>
        <v>0</v>
      </c>
      <c r="K32">
        <f>SmtRes!AE56</f>
        <v>71.19</v>
      </c>
      <c r="L32">
        <f t="shared" si="0"/>
        <v>291.0617388</v>
      </c>
      <c r="M32">
        <f>SmtRes!AA56</f>
        <v>71.19</v>
      </c>
      <c r="N32">
        <f t="shared" si="1"/>
        <v>291.0617388</v>
      </c>
      <c r="O32">
        <f>SmtRes!X56</f>
        <v>1476079038</v>
      </c>
      <c r="P32">
        <v>846547371</v>
      </c>
      <c r="Q32">
        <v>846547371</v>
      </c>
    </row>
    <row r="33" spans="1:17" ht="12.75">
      <c r="A33">
        <f>Source!A34</f>
        <v>17</v>
      </c>
      <c r="C33">
        <v>3</v>
      </c>
      <c r="D33">
        <v>0</v>
      </c>
      <c r="E33">
        <f>SmtRes!AV55</f>
        <v>0</v>
      </c>
      <c r="F33" t="str">
        <f>SmtRes!I55</f>
        <v>101-0179</v>
      </c>
      <c r="G33" t="str">
        <f>SmtRes!K55</f>
        <v>Гвозди строительные с плоской головкой 1,6x50 мм</v>
      </c>
      <c r="H33" t="str">
        <f>SmtRes!O55</f>
        <v>т</v>
      </c>
      <c r="I33">
        <f>SmtRes!Y55*Source!I34</f>
        <v>0.00010332</v>
      </c>
      <c r="J33">
        <f>SmtRes!AO55</f>
        <v>0</v>
      </c>
      <c r="K33">
        <f>SmtRes!AE55</f>
        <v>41060</v>
      </c>
      <c r="L33">
        <f t="shared" si="0"/>
        <v>4.2423192</v>
      </c>
      <c r="M33">
        <f>SmtRes!AA55</f>
        <v>41060</v>
      </c>
      <c r="N33">
        <f t="shared" si="1"/>
        <v>4.2423192</v>
      </c>
      <c r="O33">
        <f>SmtRes!X55</f>
        <v>1901508595</v>
      </c>
      <c r="P33">
        <v>-1197279618</v>
      </c>
      <c r="Q33">
        <v>-1197279618</v>
      </c>
    </row>
    <row r="34" spans="1:17" ht="12.75">
      <c r="A34">
        <f>Source!A35</f>
        <v>17</v>
      </c>
      <c r="C34">
        <v>3</v>
      </c>
      <c r="D34">
        <v>0</v>
      </c>
      <c r="E34">
        <f>SmtRes!AV63</f>
        <v>0</v>
      </c>
      <c r="F34">
        <f>SmtRes!I63</f>
      </c>
      <c r="G34" t="str">
        <f>SmtRes!K63</f>
        <v>Штукатурка цементно-песчаная</v>
      </c>
      <c r="H34" t="str">
        <f>SmtRes!O63</f>
        <v>т</v>
      </c>
      <c r="I34">
        <f>SmtRes!Y63*Source!I35</f>
        <v>1.46288</v>
      </c>
      <c r="J34">
        <f>SmtRes!AO63</f>
        <v>0</v>
      </c>
      <c r="K34">
        <f>SmtRes!AE63</f>
        <v>7118.64</v>
      </c>
      <c r="L34">
        <f t="shared" si="0"/>
        <v>10413.7160832</v>
      </c>
      <c r="M34">
        <f>SmtRes!AA63</f>
        <v>7118.64</v>
      </c>
      <c r="N34">
        <f t="shared" si="1"/>
        <v>10413.7160832</v>
      </c>
      <c r="O34">
        <f>SmtRes!X63</f>
        <v>-2017564548</v>
      </c>
      <c r="P34">
        <v>825268815</v>
      </c>
      <c r="Q34">
        <v>825268815</v>
      </c>
    </row>
    <row r="35" spans="1:17" ht="12.75">
      <c r="A35">
        <f>Source!A36</f>
        <v>17</v>
      </c>
      <c r="C35">
        <v>3</v>
      </c>
      <c r="D35">
        <v>0</v>
      </c>
      <c r="E35">
        <f>SmtRes!AV72</f>
        <v>0</v>
      </c>
      <c r="F35" t="str">
        <f>SmtRes!I72</f>
        <v>402-0071</v>
      </c>
      <c r="G35" t="str">
        <f>SmtRes!K72</f>
        <v>Смесь сухая (фуга) АТЛАС разных цветов для заделки швов водостойкая</v>
      </c>
      <c r="H35" t="str">
        <f>SmtRes!O72</f>
        <v>т</v>
      </c>
      <c r="I35">
        <f>SmtRes!Y72*Source!I36</f>
        <v>0.0369</v>
      </c>
      <c r="J35">
        <f>SmtRes!AO72</f>
        <v>0</v>
      </c>
      <c r="K35">
        <f>SmtRes!AE72</f>
        <v>55084.75</v>
      </c>
      <c r="L35">
        <f t="shared" si="0"/>
        <v>2032.627275</v>
      </c>
      <c r="M35">
        <f>SmtRes!AA72</f>
        <v>55084.75</v>
      </c>
      <c r="N35">
        <f t="shared" si="1"/>
        <v>2032.627275</v>
      </c>
      <c r="O35">
        <f>SmtRes!X72</f>
        <v>-1751839146</v>
      </c>
      <c r="P35">
        <v>-2098924352</v>
      </c>
      <c r="Q35">
        <v>-2098924352</v>
      </c>
    </row>
    <row r="36" spans="1:17" ht="12.75">
      <c r="A36">
        <f>Source!A36</f>
        <v>17</v>
      </c>
      <c r="C36">
        <v>3</v>
      </c>
      <c r="D36">
        <v>0</v>
      </c>
      <c r="E36">
        <f>SmtRes!AV71</f>
        <v>0</v>
      </c>
      <c r="F36" t="str">
        <f>SmtRes!I71</f>
        <v>101-1776</v>
      </c>
      <c r="G36" t="str">
        <f>SmtRes!K71</f>
        <v>Клей для облицовочных работ водостойкий «Плюс» (сухая смесь)</v>
      </c>
      <c r="H36" t="str">
        <f>SmtRes!O71</f>
        <v>т</v>
      </c>
      <c r="I36">
        <f>SmtRes!Y71*Source!I36</f>
        <v>0.27675</v>
      </c>
      <c r="J36">
        <f>SmtRes!AO71</f>
        <v>0</v>
      </c>
      <c r="K36">
        <f>SmtRes!AE71</f>
        <v>10338.98</v>
      </c>
      <c r="L36">
        <f t="shared" si="0"/>
        <v>2861.312715</v>
      </c>
      <c r="M36">
        <f>SmtRes!AA71</f>
        <v>10338.98</v>
      </c>
      <c r="N36">
        <f t="shared" si="1"/>
        <v>2861.312715</v>
      </c>
      <c r="O36">
        <f>SmtRes!X71</f>
        <v>-2065732401</v>
      </c>
      <c r="P36">
        <v>-1622466415</v>
      </c>
      <c r="Q36">
        <v>-1622466415</v>
      </c>
    </row>
    <row r="37" spans="1:17" ht="12.75">
      <c r="A37">
        <f>Source!A36</f>
        <v>17</v>
      </c>
      <c r="C37">
        <v>3</v>
      </c>
      <c r="D37">
        <v>0</v>
      </c>
      <c r="E37">
        <f>SmtRes!AV70</f>
        <v>0</v>
      </c>
      <c r="F37" t="str">
        <f>SmtRes!I70</f>
        <v>101-1757</v>
      </c>
      <c r="G37" t="str">
        <f>SmtRes!K70</f>
        <v>Ветошь</v>
      </c>
      <c r="H37" t="str">
        <f>SmtRes!O70</f>
        <v>кг</v>
      </c>
      <c r="I37">
        <f>SmtRes!Y70*Source!I36</f>
        <v>0.369</v>
      </c>
      <c r="J37">
        <f>SmtRes!AO70</f>
        <v>0</v>
      </c>
      <c r="K37">
        <f>SmtRes!AE70</f>
        <v>52.32</v>
      </c>
      <c r="L37">
        <f t="shared" si="0"/>
        <v>19.30608</v>
      </c>
      <c r="M37">
        <f>SmtRes!AA70</f>
        <v>52.32</v>
      </c>
      <c r="N37">
        <f t="shared" si="1"/>
        <v>19.30608</v>
      </c>
      <c r="O37">
        <f>SmtRes!X70</f>
        <v>-294913766</v>
      </c>
      <c r="P37">
        <v>838672520</v>
      </c>
      <c r="Q37">
        <v>838672520</v>
      </c>
    </row>
    <row r="38" spans="1:17" ht="12.75">
      <c r="A38">
        <f>Source!A36</f>
        <v>17</v>
      </c>
      <c r="C38">
        <v>3</v>
      </c>
      <c r="D38">
        <v>0</v>
      </c>
      <c r="E38">
        <f>SmtRes!AV69</f>
        <v>0</v>
      </c>
      <c r="F38" t="str">
        <f>SmtRes!I69</f>
        <v>101-0256</v>
      </c>
      <c r="G38" t="str">
        <f>SmtRes!K69</f>
        <v>Плитки керамические глазурованные для внутренней облицовки стен гладкие без завала белые</v>
      </c>
      <c r="H38" t="str">
        <f>SmtRes!O69</f>
        <v>м2</v>
      </c>
      <c r="I38">
        <f>SmtRes!Y69*Source!I36</f>
        <v>77.49</v>
      </c>
      <c r="J38">
        <f>SmtRes!AO69</f>
        <v>0</v>
      </c>
      <c r="K38">
        <f>SmtRes!AE69</f>
        <v>333.26</v>
      </c>
      <c r="L38">
        <f t="shared" si="0"/>
        <v>25824.317399999996</v>
      </c>
      <c r="M38">
        <f>SmtRes!AA69</f>
        <v>333.26</v>
      </c>
      <c r="N38">
        <f t="shared" si="1"/>
        <v>25824.317399999996</v>
      </c>
      <c r="O38">
        <f>SmtRes!X69</f>
        <v>1474728770</v>
      </c>
      <c r="P38">
        <v>-909514091</v>
      </c>
      <c r="Q38">
        <v>-909514091</v>
      </c>
    </row>
    <row r="39" spans="1:17" ht="12.75">
      <c r="A39">
        <f>Source!A37</f>
        <v>17</v>
      </c>
      <c r="C39">
        <v>3</v>
      </c>
      <c r="D39">
        <v>0</v>
      </c>
      <c r="E39">
        <f>SmtRes!AV78</f>
        <v>0</v>
      </c>
      <c r="F39" t="str">
        <f>SmtRes!I78</f>
        <v>101-9732</v>
      </c>
      <c r="G39" t="str">
        <f>SmtRes!K78</f>
        <v>Грунтовка бетон-контакт</v>
      </c>
      <c r="H39" t="str">
        <f>SmtRes!O78</f>
        <v>т</v>
      </c>
      <c r="I39">
        <f>SmtRes!Y78*Source!I37</f>
        <v>0.006526</v>
      </c>
      <c r="J39">
        <f>SmtRes!AO78</f>
        <v>0</v>
      </c>
      <c r="K39">
        <f>SmtRes!AE78</f>
        <v>49857.01</v>
      </c>
      <c r="L39">
        <f aca="true" t="shared" si="2" ref="L39:L70">I39*K39</f>
        <v>325.36684726</v>
      </c>
      <c r="M39">
        <f>SmtRes!AA78</f>
        <v>49857.01</v>
      </c>
      <c r="N39">
        <f aca="true" t="shared" si="3" ref="N39:N70">I39*M39</f>
        <v>325.36684726</v>
      </c>
      <c r="O39">
        <f>SmtRes!X78</f>
        <v>692989640</v>
      </c>
      <c r="P39">
        <v>-323790427</v>
      </c>
      <c r="Q39">
        <v>-323790427</v>
      </c>
    </row>
    <row r="40" spans="1:17" ht="12.75">
      <c r="A40">
        <f>Source!A37</f>
        <v>17</v>
      </c>
      <c r="C40">
        <v>3</v>
      </c>
      <c r="D40">
        <v>0</v>
      </c>
      <c r="E40">
        <f>SmtRes!AV77</f>
        <v>0</v>
      </c>
      <c r="F40" t="str">
        <f>SmtRes!I77</f>
        <v>101-1757</v>
      </c>
      <c r="G40" t="str">
        <f>SmtRes!K77</f>
        <v>Ветошь</v>
      </c>
      <c r="H40" t="str">
        <f>SmtRes!O77</f>
        <v>кг</v>
      </c>
      <c r="I40">
        <f>SmtRes!Y77*Source!I37</f>
        <v>0.0502</v>
      </c>
      <c r="J40">
        <f>SmtRes!AO77</f>
        <v>0</v>
      </c>
      <c r="K40">
        <f>SmtRes!AE77</f>
        <v>52.32</v>
      </c>
      <c r="L40">
        <f t="shared" si="2"/>
        <v>2.626464</v>
      </c>
      <c r="M40">
        <f>SmtRes!AA77</f>
        <v>52.32</v>
      </c>
      <c r="N40">
        <f t="shared" si="3"/>
        <v>2.626464</v>
      </c>
      <c r="O40">
        <f>SmtRes!X77</f>
        <v>371875709</v>
      </c>
      <c r="P40">
        <v>1471889621</v>
      </c>
      <c r="Q40">
        <v>1471889621</v>
      </c>
    </row>
    <row r="41" spans="1:17" ht="12.75">
      <c r="A41">
        <f>Source!A38</f>
        <v>17</v>
      </c>
      <c r="C41">
        <v>3</v>
      </c>
      <c r="D41">
        <v>0</v>
      </c>
      <c r="E41">
        <f>SmtRes!AV85</f>
        <v>0</v>
      </c>
      <c r="F41" t="str">
        <f>SmtRes!I85</f>
        <v>402-0070</v>
      </c>
      <c r="G41" t="str">
        <f>SmtRes!K85</f>
        <v>Смесь штукатурная на гипсовой основе</v>
      </c>
      <c r="H41" t="str">
        <f>SmtRes!O85</f>
        <v>т</v>
      </c>
      <c r="I41">
        <f>SmtRes!Y85*Source!I38</f>
        <v>0.48694</v>
      </c>
      <c r="J41">
        <f>SmtRes!AO85</f>
        <v>0</v>
      </c>
      <c r="K41">
        <f>SmtRes!AE85</f>
        <v>10451.98</v>
      </c>
      <c r="L41">
        <f t="shared" si="2"/>
        <v>5089.487141199999</v>
      </c>
      <c r="M41">
        <f>SmtRes!AA85</f>
        <v>10451.98</v>
      </c>
      <c r="N41">
        <f t="shared" si="3"/>
        <v>5089.487141199999</v>
      </c>
      <c r="O41">
        <f>SmtRes!X85</f>
        <v>663679360</v>
      </c>
      <c r="P41">
        <v>88922101</v>
      </c>
      <c r="Q41">
        <v>88922101</v>
      </c>
    </row>
    <row r="42" spans="1:17" ht="12.75">
      <c r="A42">
        <f>Source!A38</f>
        <v>17</v>
      </c>
      <c r="C42">
        <v>3</v>
      </c>
      <c r="D42">
        <v>0</v>
      </c>
      <c r="E42">
        <f>SmtRes!AV84</f>
        <v>0</v>
      </c>
      <c r="F42" t="str">
        <f>SmtRes!I84</f>
        <v>101-9732</v>
      </c>
      <c r="G42" t="str">
        <f>SmtRes!K84</f>
        <v>Грунтовка</v>
      </c>
      <c r="H42" t="str">
        <f>SmtRes!O84</f>
        <v>т</v>
      </c>
      <c r="I42">
        <f>SmtRes!Y84*Source!I38</f>
        <v>0.00502</v>
      </c>
      <c r="J42">
        <f>SmtRes!AO84</f>
        <v>0</v>
      </c>
      <c r="K42">
        <f>SmtRes!AE84</f>
        <v>35593.22</v>
      </c>
      <c r="L42">
        <f t="shared" si="2"/>
        <v>178.6779644</v>
      </c>
      <c r="M42">
        <f>SmtRes!AA84</f>
        <v>35593.22</v>
      </c>
      <c r="N42">
        <f t="shared" si="3"/>
        <v>178.6779644</v>
      </c>
      <c r="O42">
        <f>SmtRes!X84</f>
        <v>1785764018</v>
      </c>
      <c r="P42">
        <v>-1362092224</v>
      </c>
      <c r="Q42">
        <v>-1362092224</v>
      </c>
    </row>
    <row r="43" spans="1:17" ht="12.75">
      <c r="A43">
        <f>Source!A40</f>
        <v>17</v>
      </c>
      <c r="C43">
        <v>3</v>
      </c>
      <c r="D43">
        <v>0</v>
      </c>
      <c r="E43">
        <f>SmtRes!AV95</f>
        <v>0</v>
      </c>
      <c r="F43">
        <f>SmtRes!I95</f>
      </c>
      <c r="G43" t="str">
        <f>SmtRes!K95</f>
        <v>Штукатурка цементно-песчаная</v>
      </c>
      <c r="H43" t="str">
        <f>SmtRes!O95</f>
        <v>т</v>
      </c>
      <c r="I43">
        <f>SmtRes!Y95*Source!I40</f>
        <v>0.13775999999999997</v>
      </c>
      <c r="J43">
        <f>SmtRes!AO95</f>
        <v>0</v>
      </c>
      <c r="K43">
        <f>SmtRes!AE95</f>
        <v>7118.64</v>
      </c>
      <c r="L43">
        <f t="shared" si="2"/>
        <v>980.6638463999998</v>
      </c>
      <c r="M43">
        <f>SmtRes!AA95</f>
        <v>7118.64</v>
      </c>
      <c r="N43">
        <f t="shared" si="3"/>
        <v>980.6638463999998</v>
      </c>
      <c r="O43">
        <f>SmtRes!X95</f>
        <v>-2017564548</v>
      </c>
      <c r="P43">
        <v>825268815</v>
      </c>
      <c r="Q43">
        <v>825268815</v>
      </c>
    </row>
    <row r="44" spans="1:17" ht="12.75">
      <c r="A44">
        <f>Source!A41</f>
        <v>17</v>
      </c>
      <c r="C44">
        <v>3</v>
      </c>
      <c r="D44">
        <v>0</v>
      </c>
      <c r="E44">
        <f>SmtRes!AV97</f>
        <v>0</v>
      </c>
      <c r="F44">
        <f>SmtRes!I97</f>
      </c>
      <c r="G44" t="str">
        <f>SmtRes!K97</f>
        <v>Шпаклевка</v>
      </c>
      <c r="H44" t="str">
        <f>SmtRes!O97</f>
        <v>т</v>
      </c>
      <c r="I44">
        <f>SmtRes!Y97*Source!I41</f>
        <v>0.003802944162436551</v>
      </c>
      <c r="J44">
        <f>SmtRes!AO97</f>
        <v>0</v>
      </c>
      <c r="K44">
        <f>SmtRes!AE97</f>
        <v>15152.43</v>
      </c>
      <c r="L44">
        <f t="shared" si="2"/>
        <v>57.62384521522847</v>
      </c>
      <c r="M44">
        <f>SmtRes!AA97</f>
        <v>15152.43</v>
      </c>
      <c r="N44">
        <f t="shared" si="3"/>
        <v>57.62384521522847</v>
      </c>
      <c r="O44">
        <f>SmtRes!X97</f>
        <v>-1242880821</v>
      </c>
      <c r="P44">
        <v>1075753876</v>
      </c>
      <c r="Q44">
        <v>1075753876</v>
      </c>
    </row>
    <row r="45" spans="1:17" ht="12.75">
      <c r="A45">
        <f>Source!A42</f>
        <v>17</v>
      </c>
      <c r="C45">
        <v>3</v>
      </c>
      <c r="D45">
        <v>0</v>
      </c>
      <c r="E45">
        <f>SmtRes!AV102</f>
        <v>0</v>
      </c>
      <c r="F45" t="str">
        <f>SmtRes!I102</f>
        <v>101-9732</v>
      </c>
      <c r="G45" t="str">
        <f>SmtRes!K102</f>
        <v>Грунтовка</v>
      </c>
      <c r="H45" t="str">
        <f>SmtRes!O102</f>
        <v>т</v>
      </c>
      <c r="I45">
        <f>SmtRes!Y102*Source!I42</f>
        <v>0.00094</v>
      </c>
      <c r="J45">
        <f>SmtRes!AO102</f>
        <v>0</v>
      </c>
      <c r="K45">
        <f>SmtRes!AE102</f>
        <v>35593.22</v>
      </c>
      <c r="L45">
        <f t="shared" si="2"/>
        <v>33.4576268</v>
      </c>
      <c r="M45">
        <f>SmtRes!AA102</f>
        <v>35593.22</v>
      </c>
      <c r="N45">
        <f t="shared" si="3"/>
        <v>33.4576268</v>
      </c>
      <c r="O45">
        <f>SmtRes!X102</f>
        <v>-1698187799</v>
      </c>
      <c r="P45">
        <v>650474858</v>
      </c>
      <c r="Q45">
        <v>650474858</v>
      </c>
    </row>
    <row r="46" spans="1:17" ht="12.75">
      <c r="A46">
        <f>Source!A42</f>
        <v>17</v>
      </c>
      <c r="C46">
        <v>3</v>
      </c>
      <c r="D46">
        <v>0</v>
      </c>
      <c r="E46">
        <f>SmtRes!AV101</f>
        <v>0</v>
      </c>
      <c r="F46" t="str">
        <f>SmtRes!I101</f>
        <v>101-1757</v>
      </c>
      <c r="G46" t="str">
        <f>SmtRes!K101</f>
        <v>Ветошь</v>
      </c>
      <c r="H46" t="str">
        <f>SmtRes!O101</f>
        <v>кг</v>
      </c>
      <c r="I46">
        <f>SmtRes!Y101*Source!I42</f>
        <v>0.0094</v>
      </c>
      <c r="J46">
        <f>SmtRes!AO101</f>
        <v>0</v>
      </c>
      <c r="K46">
        <f>SmtRes!AE101</f>
        <v>52.32</v>
      </c>
      <c r="L46">
        <f t="shared" si="2"/>
        <v>0.491808</v>
      </c>
      <c r="M46">
        <f>SmtRes!AA101</f>
        <v>52.32</v>
      </c>
      <c r="N46">
        <f t="shared" si="3"/>
        <v>0.491808</v>
      </c>
      <c r="O46">
        <f>SmtRes!X101</f>
        <v>371875709</v>
      </c>
      <c r="P46">
        <v>1471889621</v>
      </c>
      <c r="Q46">
        <v>1471889621</v>
      </c>
    </row>
    <row r="47" spans="1:17" ht="12.75">
      <c r="A47">
        <f>Source!A43</f>
        <v>17</v>
      </c>
      <c r="C47">
        <v>3</v>
      </c>
      <c r="D47">
        <v>0</v>
      </c>
      <c r="E47">
        <f>SmtRes!AV109</f>
        <v>0</v>
      </c>
      <c r="F47" t="str">
        <f>SmtRes!I109</f>
        <v>102-0303</v>
      </c>
      <c r="G47" t="str">
        <f>SmtRes!K109</f>
        <v>Клинья пластиковые монтажные</v>
      </c>
      <c r="H47" t="str">
        <f>SmtRes!O109</f>
        <v>шт.</v>
      </c>
      <c r="I47">
        <f>SmtRes!Y109*Source!I43</f>
        <v>18</v>
      </c>
      <c r="J47">
        <f>SmtRes!AO109</f>
        <v>0</v>
      </c>
      <c r="K47">
        <f>SmtRes!AE109</f>
        <v>0.5</v>
      </c>
      <c r="L47">
        <f t="shared" si="2"/>
        <v>9</v>
      </c>
      <c r="M47">
        <f>SmtRes!AA109</f>
        <v>0.5</v>
      </c>
      <c r="N47">
        <f t="shared" si="3"/>
        <v>9</v>
      </c>
      <c r="O47">
        <f>SmtRes!X109</f>
        <v>-291895599</v>
      </c>
      <c r="P47">
        <v>-558797262</v>
      </c>
      <c r="Q47">
        <v>-558797262</v>
      </c>
    </row>
    <row r="48" spans="1:17" ht="12.75">
      <c r="A48">
        <f>Source!A43</f>
        <v>17</v>
      </c>
      <c r="C48">
        <v>3</v>
      </c>
      <c r="D48">
        <v>0</v>
      </c>
      <c r="E48">
        <f>SmtRes!AV108</f>
        <v>0</v>
      </c>
      <c r="F48" t="str">
        <f>SmtRes!I108</f>
        <v>101-9138</v>
      </c>
      <c r="G48" t="str">
        <f>SmtRes!K108</f>
        <v>Доски подоконные ПВХ</v>
      </c>
      <c r="H48" t="str">
        <f>SmtRes!O108</f>
        <v>м</v>
      </c>
      <c r="I48">
        <f>SmtRes!Y108*Source!I43</f>
        <v>4.725</v>
      </c>
      <c r="J48">
        <f>SmtRes!AO108</f>
        <v>0</v>
      </c>
      <c r="K48">
        <f>SmtRes!AE108</f>
        <v>366.1</v>
      </c>
      <c r="L48">
        <f t="shared" si="2"/>
        <v>1729.8225</v>
      </c>
      <c r="M48">
        <f>SmtRes!AA108</f>
        <v>366.1</v>
      </c>
      <c r="N48">
        <f t="shared" si="3"/>
        <v>1729.8225</v>
      </c>
      <c r="O48">
        <f>SmtRes!X108</f>
        <v>-2090815439</v>
      </c>
      <c r="P48">
        <v>34630537</v>
      </c>
      <c r="Q48">
        <v>34630537</v>
      </c>
    </row>
    <row r="49" spans="1:17" ht="12.75">
      <c r="A49">
        <f>Source!A43</f>
        <v>17</v>
      </c>
      <c r="C49">
        <v>3</v>
      </c>
      <c r="D49">
        <v>0</v>
      </c>
      <c r="E49">
        <f>SmtRes!AV107</f>
        <v>0</v>
      </c>
      <c r="F49" t="str">
        <f>SmtRes!I107</f>
        <v>101-2388</v>
      </c>
      <c r="G49" t="str">
        <f>SmtRes!K107</f>
        <v>Герметик пенополиуретановый (пена монтажная) типа Makrofleks, Soudal в баллонах по 750 мл</v>
      </c>
      <c r="H49" t="str">
        <f>SmtRes!O107</f>
        <v>шт.</v>
      </c>
      <c r="I49">
        <f>SmtRes!Y107*Source!I43</f>
        <v>2.547</v>
      </c>
      <c r="J49">
        <f>SmtRes!AO107</f>
        <v>0</v>
      </c>
      <c r="K49">
        <f>SmtRes!AE107</f>
        <v>279.66</v>
      </c>
      <c r="L49">
        <f t="shared" si="2"/>
        <v>712.2940200000002</v>
      </c>
      <c r="M49">
        <f>SmtRes!AA107</f>
        <v>279.66</v>
      </c>
      <c r="N49">
        <f t="shared" si="3"/>
        <v>712.2940200000002</v>
      </c>
      <c r="O49">
        <f>SmtRes!X107</f>
        <v>311830638</v>
      </c>
      <c r="P49">
        <v>1308764029</v>
      </c>
      <c r="Q49">
        <v>1308764029</v>
      </c>
    </row>
    <row r="50" spans="1:17" ht="12.75">
      <c r="A50">
        <f>Source!A44</f>
        <v>17</v>
      </c>
      <c r="C50">
        <v>3</v>
      </c>
      <c r="D50">
        <v>0</v>
      </c>
      <c r="E50">
        <f>SmtRes!AV117</f>
        <v>0</v>
      </c>
      <c r="F50" t="str">
        <f>SmtRes!I117</f>
        <v>101-1959</v>
      </c>
      <c r="G50" t="str">
        <f>SmtRes!K117</f>
        <v>Краска ХВ-785</v>
      </c>
      <c r="H50" t="str">
        <f>SmtRes!O117</f>
        <v>т</v>
      </c>
      <c r="I50">
        <f>SmtRes!Y117*Source!I44</f>
        <v>0.031293</v>
      </c>
      <c r="J50">
        <f>SmtRes!AO117</f>
        <v>0</v>
      </c>
      <c r="K50">
        <f>SmtRes!AE117</f>
        <v>106810</v>
      </c>
      <c r="L50">
        <f t="shared" si="2"/>
        <v>3342.40533</v>
      </c>
      <c r="M50">
        <f>SmtRes!AA117</f>
        <v>106810</v>
      </c>
      <c r="N50">
        <f t="shared" si="3"/>
        <v>3342.40533</v>
      </c>
      <c r="O50">
        <f>SmtRes!X117</f>
        <v>1835545494</v>
      </c>
      <c r="P50">
        <v>-304996022</v>
      </c>
      <c r="Q50">
        <v>-304996022</v>
      </c>
    </row>
    <row r="51" spans="1:17" ht="12.75">
      <c r="A51">
        <f>Source!A44</f>
        <v>17</v>
      </c>
      <c r="C51">
        <v>3</v>
      </c>
      <c r="D51">
        <v>0</v>
      </c>
      <c r="E51">
        <f>SmtRes!AV116</f>
        <v>0</v>
      </c>
      <c r="F51" t="str">
        <f>SmtRes!I116</f>
        <v>101-1757</v>
      </c>
      <c r="G51" t="str">
        <f>SmtRes!K116</f>
        <v>Ветошь</v>
      </c>
      <c r="H51" t="str">
        <f>SmtRes!O116</f>
        <v>кг</v>
      </c>
      <c r="I51">
        <f>SmtRes!Y116*Source!I44</f>
        <v>0.060390000000000006</v>
      </c>
      <c r="J51">
        <f>SmtRes!AO116</f>
        <v>0</v>
      </c>
      <c r="K51">
        <f>SmtRes!AE116</f>
        <v>52.32</v>
      </c>
      <c r="L51">
        <f t="shared" si="2"/>
        <v>3.1596048000000003</v>
      </c>
      <c r="M51">
        <f>SmtRes!AA116</f>
        <v>52.32</v>
      </c>
      <c r="N51">
        <f t="shared" si="3"/>
        <v>3.1596048000000003</v>
      </c>
      <c r="O51">
        <f>SmtRes!X116</f>
        <v>-294913766</v>
      </c>
      <c r="P51">
        <v>838672520</v>
      </c>
      <c r="Q51">
        <v>838672520</v>
      </c>
    </row>
    <row r="52" spans="1:17" ht="12.75">
      <c r="A52">
        <f>Source!A44</f>
        <v>17</v>
      </c>
      <c r="C52">
        <v>3</v>
      </c>
      <c r="D52">
        <v>0</v>
      </c>
      <c r="E52">
        <f>SmtRes!AV115</f>
        <v>0</v>
      </c>
      <c r="F52" t="str">
        <f>SmtRes!I115</f>
        <v>101-1712</v>
      </c>
      <c r="G52" t="str">
        <f>SmtRes!K115</f>
        <v>Шпаклевка гипсовая</v>
      </c>
      <c r="H52" t="str">
        <f>SmtRes!O115</f>
        <v>т</v>
      </c>
      <c r="I52">
        <f>SmtRes!Y115*Source!I44</f>
        <v>0.0030195</v>
      </c>
      <c r="J52">
        <f>SmtRes!AO115</f>
        <v>0</v>
      </c>
      <c r="K52">
        <f>SmtRes!AE115</f>
        <v>15152.43</v>
      </c>
      <c r="L52">
        <f t="shared" si="2"/>
        <v>45.752762385000004</v>
      </c>
      <c r="M52">
        <f>SmtRes!AA115</f>
        <v>15152.43</v>
      </c>
      <c r="N52">
        <f t="shared" si="3"/>
        <v>45.752762385000004</v>
      </c>
      <c r="O52">
        <f>SmtRes!X115</f>
        <v>76460565</v>
      </c>
      <c r="P52">
        <v>-770101224</v>
      </c>
      <c r="Q52">
        <v>-770101224</v>
      </c>
    </row>
    <row r="53" spans="1:17" ht="12.75">
      <c r="A53">
        <f>Source!A44</f>
        <v>17</v>
      </c>
      <c r="C53">
        <v>3</v>
      </c>
      <c r="D53">
        <v>0</v>
      </c>
      <c r="E53">
        <f>SmtRes!AV114</f>
        <v>0</v>
      </c>
      <c r="F53" t="str">
        <f>SmtRes!I114</f>
        <v>101-1596</v>
      </c>
      <c r="G53" t="str">
        <f>SmtRes!K114</f>
        <v>Шкурка шлифовальная двухслойная с зернистостью 40-25</v>
      </c>
      <c r="H53" t="str">
        <f>SmtRes!O114</f>
        <v>м2</v>
      </c>
      <c r="I53">
        <f>SmtRes!Y114*Source!I44</f>
        <v>0.18117000000000003</v>
      </c>
      <c r="J53">
        <f>SmtRes!AO114</f>
        <v>0</v>
      </c>
      <c r="K53">
        <f>SmtRes!AE114</f>
        <v>406.78</v>
      </c>
      <c r="L53">
        <f t="shared" si="2"/>
        <v>73.6963326</v>
      </c>
      <c r="M53">
        <f>SmtRes!AA114</f>
        <v>406.78</v>
      </c>
      <c r="N53">
        <f t="shared" si="3"/>
        <v>73.6963326</v>
      </c>
      <c r="O53">
        <f>SmtRes!X114</f>
        <v>1375622301</v>
      </c>
      <c r="P53">
        <v>-949515704</v>
      </c>
      <c r="Q53">
        <v>-949515704</v>
      </c>
    </row>
    <row r="54" spans="1:17" ht="12.75">
      <c r="A54">
        <f>Source!A46</f>
        <v>17</v>
      </c>
      <c r="C54">
        <v>3</v>
      </c>
      <c r="D54">
        <v>0</v>
      </c>
      <c r="E54">
        <f>SmtRes!AV127</f>
        <v>0</v>
      </c>
      <c r="F54" t="str">
        <f>SmtRes!I127</f>
        <v>401-0046</v>
      </c>
      <c r="G54" t="str">
        <f>SmtRes!K127</f>
        <v>Бетон тяжелый, крупность заполнителя 40 мм, класс В15 (М200)</v>
      </c>
      <c r="H54" t="str">
        <f>SmtRes!O127</f>
        <v>м3</v>
      </c>
      <c r="I54">
        <f>SmtRes!Y127*Source!I46</f>
        <v>9.919500000000001</v>
      </c>
      <c r="J54">
        <f>SmtRes!AO127</f>
        <v>0</v>
      </c>
      <c r="K54">
        <f>SmtRes!AE127</f>
        <v>4576.27</v>
      </c>
      <c r="L54">
        <f t="shared" si="2"/>
        <v>45394.31026500001</v>
      </c>
      <c r="M54">
        <f>SmtRes!AA127</f>
        <v>4576.27</v>
      </c>
      <c r="N54">
        <f t="shared" si="3"/>
        <v>45394.31026500001</v>
      </c>
      <c r="O54">
        <f>SmtRes!X127</f>
        <v>-349937075</v>
      </c>
      <c r="P54">
        <v>1615110291</v>
      </c>
      <c r="Q54">
        <v>1615110291</v>
      </c>
    </row>
    <row r="55" spans="1:17" ht="12.75">
      <c r="A55">
        <f>Source!A46</f>
        <v>17</v>
      </c>
      <c r="C55">
        <v>3</v>
      </c>
      <c r="D55">
        <v>0</v>
      </c>
      <c r="E55">
        <f>SmtRes!AV126</f>
        <v>0</v>
      </c>
      <c r="F55" t="str">
        <f>SmtRes!I126</f>
        <v>102-0114</v>
      </c>
      <c r="G55" t="str">
        <f>SmtRes!K126</f>
        <v>Доски обрезные хвойных пород длиной 2-3,75 м, шириной 75-150 мм, толщиной 25 мм, IV сорта</v>
      </c>
      <c r="H55" t="str">
        <f>SmtRes!O126</f>
        <v>м3</v>
      </c>
      <c r="I55">
        <f>SmtRes!Y126*Source!I46</f>
        <v>0.07391</v>
      </c>
      <c r="J55">
        <f>SmtRes!AO126</f>
        <v>0</v>
      </c>
      <c r="K55">
        <f>SmtRes!AE126</f>
        <v>5508.47</v>
      </c>
      <c r="L55">
        <f t="shared" si="2"/>
        <v>407.13101770000003</v>
      </c>
      <c r="M55">
        <f>SmtRes!AA126</f>
        <v>5508.47</v>
      </c>
      <c r="N55">
        <f t="shared" si="3"/>
        <v>407.13101770000003</v>
      </c>
      <c r="O55">
        <f>SmtRes!X126</f>
        <v>-405691298</v>
      </c>
      <c r="P55">
        <v>1292842012</v>
      </c>
      <c r="Q55">
        <v>1292842012</v>
      </c>
    </row>
    <row r="56" spans="1:17" ht="12.75">
      <c r="A56">
        <f>Source!A46</f>
        <v>17</v>
      </c>
      <c r="C56">
        <v>3</v>
      </c>
      <c r="D56">
        <v>0</v>
      </c>
      <c r="E56">
        <f>SmtRes!AV125</f>
        <v>0</v>
      </c>
      <c r="F56">
        <f>SmtRes!I125</f>
      </c>
      <c r="G56" t="str">
        <f>SmtRes!K125</f>
        <v>Труба профильная 50*50*3</v>
      </c>
      <c r="H56" t="str">
        <f>SmtRes!O125</f>
        <v>т</v>
      </c>
      <c r="I56">
        <f>SmtRes!Y125*Source!I46</f>
        <v>0.05446000000000001</v>
      </c>
      <c r="J56">
        <f>SmtRes!AO125</f>
        <v>0</v>
      </c>
      <c r="K56">
        <f>SmtRes!AE125</f>
        <v>34745.76</v>
      </c>
      <c r="L56">
        <f t="shared" si="2"/>
        <v>1892.2540896000005</v>
      </c>
      <c r="M56">
        <f>SmtRes!AA125</f>
        <v>34745.76</v>
      </c>
      <c r="N56">
        <f t="shared" si="3"/>
        <v>1892.2540896000005</v>
      </c>
      <c r="O56">
        <f>SmtRes!X125</f>
        <v>2089251161</v>
      </c>
      <c r="P56">
        <v>-1297933527</v>
      </c>
      <c r="Q56">
        <v>-1297933527</v>
      </c>
    </row>
    <row r="57" spans="1:17" ht="12.75">
      <c r="A57">
        <f>Source!A47</f>
        <v>17</v>
      </c>
      <c r="C57">
        <v>3</v>
      </c>
      <c r="D57">
        <v>0</v>
      </c>
      <c r="E57">
        <f>SmtRes!AV137</f>
        <v>0</v>
      </c>
      <c r="F57" t="str">
        <f>SmtRes!I137</f>
        <v>113-0360</v>
      </c>
      <c r="G57" t="str">
        <f>SmtRes!K137</f>
        <v>Пластины полиизобутиленовые ПСГ</v>
      </c>
      <c r="H57" t="str">
        <f>SmtRes!O137</f>
        <v>т</v>
      </c>
      <c r="I57">
        <f>SmtRes!Y137*Source!I47</f>
        <v>0.3501548</v>
      </c>
      <c r="J57">
        <f>SmtRes!AO137</f>
        <v>0</v>
      </c>
      <c r="K57">
        <f>SmtRes!AE137</f>
        <v>183264</v>
      </c>
      <c r="L57">
        <f t="shared" si="2"/>
        <v>64170.7692672</v>
      </c>
      <c r="M57">
        <f>SmtRes!AA137</f>
        <v>183264</v>
      </c>
      <c r="N57">
        <f t="shared" si="3"/>
        <v>64170.7692672</v>
      </c>
      <c r="O57">
        <f>SmtRes!X137</f>
        <v>-1238732844</v>
      </c>
      <c r="P57">
        <v>-445142656</v>
      </c>
      <c r="Q57">
        <v>-445142656</v>
      </c>
    </row>
    <row r="58" spans="1:17" ht="12.75">
      <c r="A58">
        <f>Source!A47</f>
        <v>17</v>
      </c>
      <c r="C58">
        <v>3</v>
      </c>
      <c r="D58">
        <v>0</v>
      </c>
      <c r="E58">
        <f>SmtRes!AV136</f>
        <v>0</v>
      </c>
      <c r="F58" t="str">
        <f>SmtRes!I136</f>
        <v>113-0264</v>
      </c>
      <c r="G58" t="str">
        <f>SmtRes!K136</f>
        <v>Эфир этиловый технический</v>
      </c>
      <c r="H58" t="str">
        <f>SmtRes!O136</f>
        <v>т</v>
      </c>
      <c r="I58">
        <f>SmtRes!Y136*Source!I47</f>
        <v>0.012900439999999999</v>
      </c>
      <c r="J58">
        <f>SmtRes!AO136</f>
        <v>0</v>
      </c>
      <c r="K58">
        <f>SmtRes!AE136</f>
        <v>81420</v>
      </c>
      <c r="L58">
        <f t="shared" si="2"/>
        <v>1050.3538248</v>
      </c>
      <c r="M58">
        <f>SmtRes!AA136</f>
        <v>81420</v>
      </c>
      <c r="N58">
        <f t="shared" si="3"/>
        <v>1050.3538248</v>
      </c>
      <c r="O58">
        <f>SmtRes!X136</f>
        <v>284443302</v>
      </c>
      <c r="P58">
        <v>-726019058</v>
      </c>
      <c r="Q58">
        <v>-726019058</v>
      </c>
    </row>
    <row r="59" spans="1:17" ht="12.75">
      <c r="A59">
        <f>Source!A47</f>
        <v>17</v>
      </c>
      <c r="C59">
        <v>3</v>
      </c>
      <c r="D59">
        <v>0</v>
      </c>
      <c r="E59">
        <f>SmtRes!AV135</f>
        <v>0</v>
      </c>
      <c r="F59" t="str">
        <f>SmtRes!I135</f>
        <v>101-0329</v>
      </c>
      <c r="G59" t="str">
        <f>SmtRes!K135</f>
        <v>Клей 88-СА</v>
      </c>
      <c r="H59" t="str">
        <f>SmtRes!O135</f>
        <v>кг</v>
      </c>
      <c r="I59">
        <f>SmtRes!Y135*Source!I47</f>
        <v>73.7168</v>
      </c>
      <c r="J59">
        <f>SmtRes!AO135</f>
        <v>0</v>
      </c>
      <c r="K59">
        <f>SmtRes!AE135</f>
        <v>247.12</v>
      </c>
      <c r="L59">
        <f t="shared" si="2"/>
        <v>18216.895616</v>
      </c>
      <c r="M59">
        <f>SmtRes!AA135</f>
        <v>247.12</v>
      </c>
      <c r="N59">
        <f t="shared" si="3"/>
        <v>18216.895616</v>
      </c>
      <c r="O59">
        <f>SmtRes!X135</f>
        <v>1375923348</v>
      </c>
      <c r="P59">
        <v>1305610748</v>
      </c>
      <c r="Q59">
        <v>1305610748</v>
      </c>
    </row>
    <row r="60" spans="1:17" ht="12.75">
      <c r="A60">
        <f>Source!A47</f>
        <v>17</v>
      </c>
      <c r="C60">
        <v>3</v>
      </c>
      <c r="D60">
        <v>0</v>
      </c>
      <c r="E60">
        <f>SmtRes!AV134</f>
        <v>0</v>
      </c>
      <c r="F60" t="str">
        <f>SmtRes!I134</f>
        <v>101-0069</v>
      </c>
      <c r="G60" t="str">
        <f>SmtRes!K134</f>
        <v>Бензин авиационный Б-70</v>
      </c>
      <c r="H60" t="str">
        <f>SmtRes!O134</f>
        <v>т</v>
      </c>
      <c r="I60">
        <f>SmtRes!Y134*Source!I47</f>
        <v>0.012900439999999999</v>
      </c>
      <c r="J60">
        <f>SmtRes!AO134</f>
        <v>0</v>
      </c>
      <c r="K60">
        <f>SmtRes!AE134</f>
        <v>39874.56</v>
      </c>
      <c r="L60">
        <f t="shared" si="2"/>
        <v>514.3993688063999</v>
      </c>
      <c r="M60">
        <f>SmtRes!AA134</f>
        <v>39874.56</v>
      </c>
      <c r="N60">
        <f t="shared" si="3"/>
        <v>514.3993688063999</v>
      </c>
      <c r="O60">
        <f>SmtRes!X134</f>
        <v>-1859422848</v>
      </c>
      <c r="P60">
        <v>-466895949</v>
      </c>
      <c r="Q60">
        <v>-466895949</v>
      </c>
    </row>
    <row r="61" spans="1:17" ht="12.75">
      <c r="A61">
        <f>Source!A48</f>
        <v>17</v>
      </c>
      <c r="C61">
        <v>3</v>
      </c>
      <c r="D61">
        <v>0</v>
      </c>
      <c r="E61">
        <f>SmtRes!AV148</f>
        <v>0</v>
      </c>
      <c r="F61" t="str">
        <f>SmtRes!I148</f>
        <v>113-0310</v>
      </c>
      <c r="G61" t="str">
        <f>SmtRes!K148</f>
        <v>Порошок № 2 для кислотоупорной замазки</v>
      </c>
      <c r="H61" t="str">
        <f>SmtRes!O148</f>
        <v>т</v>
      </c>
      <c r="I61">
        <f>SmtRes!Y148*Source!I48</f>
        <v>0.8707797</v>
      </c>
      <c r="J61">
        <f>SmtRes!AO148</f>
        <v>0</v>
      </c>
      <c r="K61">
        <f>SmtRes!AE148</f>
        <v>16798.8</v>
      </c>
      <c r="L61">
        <f t="shared" si="2"/>
        <v>14628.05402436</v>
      </c>
      <c r="M61">
        <f>SmtRes!AA148</f>
        <v>16798.8</v>
      </c>
      <c r="N61">
        <f t="shared" si="3"/>
        <v>14628.05402436</v>
      </c>
      <c r="O61">
        <f>SmtRes!X148</f>
        <v>-494962278</v>
      </c>
      <c r="P61">
        <v>2034310201</v>
      </c>
      <c r="Q61">
        <v>2034310201</v>
      </c>
    </row>
    <row r="62" spans="1:17" ht="12.75">
      <c r="A62">
        <f>Source!A48</f>
        <v>17</v>
      </c>
      <c r="C62">
        <v>3</v>
      </c>
      <c r="D62">
        <v>0</v>
      </c>
      <c r="E62">
        <f>SmtRes!AV147</f>
        <v>0</v>
      </c>
      <c r="F62" t="str">
        <f>SmtRes!I147</f>
        <v>113-0132</v>
      </c>
      <c r="G62" t="str">
        <f>SmtRes!K147</f>
        <v>Плитки кислотоупорные шамотные квадратные и прямоугольные толщиной 35 мм</v>
      </c>
      <c r="H62" t="str">
        <f>SmtRes!O147</f>
        <v>м2</v>
      </c>
      <c r="I62">
        <f>SmtRes!Y147*Source!I48</f>
        <v>46.994460000000004</v>
      </c>
      <c r="J62">
        <f>SmtRes!AO147</f>
        <v>0</v>
      </c>
      <c r="K62">
        <f>SmtRes!AE147</f>
        <v>1758</v>
      </c>
      <c r="L62">
        <f t="shared" si="2"/>
        <v>82616.26068</v>
      </c>
      <c r="M62">
        <f>SmtRes!AA147</f>
        <v>1758</v>
      </c>
      <c r="N62">
        <f t="shared" si="3"/>
        <v>82616.26068</v>
      </c>
      <c r="O62">
        <f>SmtRes!X147</f>
        <v>-584050381</v>
      </c>
      <c r="P62">
        <v>-1529388494</v>
      </c>
      <c r="Q62">
        <v>-1529388494</v>
      </c>
    </row>
    <row r="63" spans="1:17" ht="12.75">
      <c r="A63">
        <f>Source!A48</f>
        <v>17</v>
      </c>
      <c r="C63">
        <v>3</v>
      </c>
      <c r="D63">
        <v>0</v>
      </c>
      <c r="E63">
        <f>SmtRes!AV146</f>
        <v>0</v>
      </c>
      <c r="F63" t="str">
        <f>SmtRes!I146</f>
        <v>101-2319</v>
      </c>
      <c r="G63" t="str">
        <f>SmtRes!K146</f>
        <v>Стекло натриевое жидкое каустическое</v>
      </c>
      <c r="H63" t="str">
        <f>SmtRes!O146</f>
        <v>т</v>
      </c>
      <c r="I63">
        <f>SmtRes!Y146*Source!I48</f>
        <v>0.39023831000000003</v>
      </c>
      <c r="J63">
        <f>SmtRes!AO146</f>
        <v>0</v>
      </c>
      <c r="K63">
        <f>SmtRes!AE146</f>
        <v>37674</v>
      </c>
      <c r="L63">
        <f t="shared" si="2"/>
        <v>14701.838090940002</v>
      </c>
      <c r="M63">
        <f>SmtRes!AA146</f>
        <v>37674</v>
      </c>
      <c r="N63">
        <f t="shared" si="3"/>
        <v>14701.838090940002</v>
      </c>
      <c r="O63">
        <f>SmtRes!X146</f>
        <v>-463722913</v>
      </c>
      <c r="P63">
        <v>1808136864</v>
      </c>
      <c r="Q63">
        <v>1808136864</v>
      </c>
    </row>
    <row r="64" spans="1:17" ht="12.75">
      <c r="A64">
        <f>Source!A48</f>
        <v>17</v>
      </c>
      <c r="C64">
        <v>3</v>
      </c>
      <c r="D64">
        <v>0</v>
      </c>
      <c r="E64">
        <f>SmtRes!AV145</f>
        <v>0</v>
      </c>
      <c r="F64" t="str">
        <f>SmtRes!I145</f>
        <v>101-2313</v>
      </c>
      <c r="G64" t="str">
        <f>SmtRes!K145</f>
        <v>Натрий кремнефтористый технический, сорт I</v>
      </c>
      <c r="H64" t="str">
        <f>SmtRes!O145</f>
        <v>т</v>
      </c>
      <c r="I64">
        <f>SmtRes!Y145*Source!I48</f>
        <v>0.05851271</v>
      </c>
      <c r="J64">
        <f>SmtRes!AO145</f>
        <v>0</v>
      </c>
      <c r="K64">
        <f>SmtRes!AE145</f>
        <v>49868.65</v>
      </c>
      <c r="L64">
        <f t="shared" si="2"/>
        <v>2917.9498555415003</v>
      </c>
      <c r="M64">
        <f>SmtRes!AA145</f>
        <v>49868.65</v>
      </c>
      <c r="N64">
        <f t="shared" si="3"/>
        <v>2917.9498555415003</v>
      </c>
      <c r="O64">
        <f>SmtRes!X145</f>
        <v>-1842594342</v>
      </c>
      <c r="P64">
        <v>852955383</v>
      </c>
      <c r="Q64">
        <v>852955383</v>
      </c>
    </row>
    <row r="65" spans="1:17" ht="12.75">
      <c r="A65">
        <f>Source!A49</f>
        <v>17</v>
      </c>
      <c r="C65">
        <v>3</v>
      </c>
      <c r="D65">
        <v>0</v>
      </c>
      <c r="E65">
        <f>SmtRes!AV158</f>
        <v>0</v>
      </c>
      <c r="F65" t="str">
        <f>SmtRes!I158</f>
        <v>113-0338</v>
      </c>
      <c r="G65" t="str">
        <f>SmtRes!K158</f>
        <v>Дибутилфталат технический, сорт I</v>
      </c>
      <c r="H65" t="str">
        <f>SmtRes!O158</f>
        <v>т</v>
      </c>
      <c r="I65">
        <f>SmtRes!Y158*Source!I49</f>
        <v>0.00230365</v>
      </c>
      <c r="J65">
        <f>SmtRes!AO158</f>
        <v>0</v>
      </c>
      <c r="K65">
        <f>SmtRes!AE158</f>
        <v>350700.9</v>
      </c>
      <c r="L65">
        <f t="shared" si="2"/>
        <v>807.892128285</v>
      </c>
      <c r="M65">
        <f>SmtRes!AA158</f>
        <v>350700.9</v>
      </c>
      <c r="N65">
        <f t="shared" si="3"/>
        <v>807.892128285</v>
      </c>
      <c r="O65">
        <f>SmtRes!X158</f>
        <v>-1951853478</v>
      </c>
      <c r="P65">
        <v>-721506892</v>
      </c>
      <c r="Q65">
        <v>-721506892</v>
      </c>
    </row>
    <row r="66" spans="1:17" ht="12.75">
      <c r="A66">
        <f>Source!A49</f>
        <v>17</v>
      </c>
      <c r="C66">
        <v>3</v>
      </c>
      <c r="D66">
        <v>0</v>
      </c>
      <c r="E66">
        <f>SmtRes!AV157</f>
        <v>0</v>
      </c>
      <c r="F66" t="str">
        <f>SmtRes!I157</f>
        <v>113-0310</v>
      </c>
      <c r="G66" t="str">
        <f>SmtRes!K157</f>
        <v>Порошок № 2 для кислотоупорной замазки</v>
      </c>
      <c r="H66" t="str">
        <f>SmtRes!O157</f>
        <v>т</v>
      </c>
      <c r="I66">
        <f>SmtRes!Y157*Source!I49</f>
        <v>0.005528760000000001</v>
      </c>
      <c r="J66">
        <f>SmtRes!AO157</f>
        <v>0</v>
      </c>
      <c r="K66">
        <f>SmtRes!AE157</f>
        <v>16798.8</v>
      </c>
      <c r="L66">
        <f t="shared" si="2"/>
        <v>92.876533488</v>
      </c>
      <c r="M66">
        <f>SmtRes!AA157</f>
        <v>16798.8</v>
      </c>
      <c r="N66">
        <f t="shared" si="3"/>
        <v>92.876533488</v>
      </c>
      <c r="O66">
        <f>SmtRes!X157</f>
        <v>-494962278</v>
      </c>
      <c r="P66">
        <v>2034310201</v>
      </c>
      <c r="Q66">
        <v>2034310201</v>
      </c>
    </row>
    <row r="67" spans="1:17" ht="12.75">
      <c r="A67">
        <f>Source!A49</f>
        <v>17</v>
      </c>
      <c r="C67">
        <v>3</v>
      </c>
      <c r="D67">
        <v>0</v>
      </c>
      <c r="E67">
        <f>SmtRes!AV156</f>
        <v>0</v>
      </c>
      <c r="F67" t="str">
        <f>SmtRes!I156</f>
        <v>113-0163</v>
      </c>
      <c r="G67" t="str">
        <f>SmtRes!K156</f>
        <v>Смола эпоксидная марки ЭД-20</v>
      </c>
      <c r="H67" t="str">
        <f>SmtRes!O156</f>
        <v>т</v>
      </c>
      <c r="I67">
        <f>SmtRes!Y156*Source!I49</f>
        <v>0.0230365</v>
      </c>
      <c r="J67">
        <f>SmtRes!AO156</f>
        <v>0</v>
      </c>
      <c r="K67">
        <f>SmtRes!AE156</f>
        <v>498000</v>
      </c>
      <c r="L67">
        <f t="shared" si="2"/>
        <v>11472.177000000001</v>
      </c>
      <c r="M67">
        <f>SmtRes!AA156</f>
        <v>498000</v>
      </c>
      <c r="N67">
        <f t="shared" si="3"/>
        <v>11472.177000000001</v>
      </c>
      <c r="O67">
        <f>SmtRes!X156</f>
        <v>-774022363</v>
      </c>
      <c r="P67">
        <v>2071368592</v>
      </c>
      <c r="Q67">
        <v>2071368592</v>
      </c>
    </row>
    <row r="68" spans="1:17" ht="12.75">
      <c r="A68">
        <f>Source!A49</f>
        <v>17</v>
      </c>
      <c r="C68">
        <v>3</v>
      </c>
      <c r="D68">
        <v>0</v>
      </c>
      <c r="E68">
        <f>SmtRes!AV155</f>
        <v>0</v>
      </c>
      <c r="F68" t="str">
        <f>SmtRes!I155</f>
        <v>113-0152</v>
      </c>
      <c r="G68" t="str">
        <f>SmtRes!K155</f>
        <v>Полиэтиленполиамин (ПЭПА) технический, марка А</v>
      </c>
      <c r="H68" t="str">
        <f>SmtRes!O155</f>
        <v>т</v>
      </c>
      <c r="I68">
        <f>SmtRes!Y155*Source!I49</f>
        <v>0.00230365</v>
      </c>
      <c r="J68">
        <f>SmtRes!AO155</f>
        <v>0</v>
      </c>
      <c r="K68">
        <f>SmtRes!AE155</f>
        <v>658043.5</v>
      </c>
      <c r="L68">
        <f t="shared" si="2"/>
        <v>1515.901908775</v>
      </c>
      <c r="M68">
        <f>SmtRes!AA155</f>
        <v>658043.5</v>
      </c>
      <c r="N68">
        <f t="shared" si="3"/>
        <v>1515.901908775</v>
      </c>
      <c r="O68">
        <f>SmtRes!X155</f>
        <v>-1188812599</v>
      </c>
      <c r="P68">
        <v>1220774517</v>
      </c>
      <c r="Q68">
        <v>1220774517</v>
      </c>
    </row>
    <row r="69" spans="1:17" ht="12.75">
      <c r="A69">
        <f>Source!A49</f>
        <v>17</v>
      </c>
      <c r="C69">
        <v>3</v>
      </c>
      <c r="D69">
        <v>0</v>
      </c>
      <c r="E69">
        <f>SmtRes!AV154</f>
        <v>0</v>
      </c>
      <c r="F69" t="str">
        <f>SmtRes!I154</f>
        <v>113-0003</v>
      </c>
      <c r="G69" t="str">
        <f>SmtRes!K154</f>
        <v>Ацетон технический, сорт I</v>
      </c>
      <c r="H69" t="str">
        <f>SmtRes!O154</f>
        <v>т</v>
      </c>
      <c r="I69">
        <f>SmtRes!Y154*Source!I49</f>
        <v>0.0032251099999999998</v>
      </c>
      <c r="J69">
        <f>SmtRes!AO154</f>
        <v>0</v>
      </c>
      <c r="K69">
        <f>SmtRes!AE154</f>
        <v>132200</v>
      </c>
      <c r="L69">
        <f t="shared" si="2"/>
        <v>426.359542</v>
      </c>
      <c r="M69">
        <f>SmtRes!AA154</f>
        <v>132200</v>
      </c>
      <c r="N69">
        <f t="shared" si="3"/>
        <v>426.359542</v>
      </c>
      <c r="O69">
        <f>SmtRes!X154</f>
        <v>2016411689</v>
      </c>
      <c r="P69">
        <v>49952627</v>
      </c>
      <c r="Q69">
        <v>49952627</v>
      </c>
    </row>
    <row r="70" spans="1:17" ht="12.75">
      <c r="A70">
        <f>Source!A51</f>
        <v>17</v>
      </c>
      <c r="C70">
        <v>3</v>
      </c>
      <c r="D70">
        <v>0</v>
      </c>
      <c r="E70">
        <f>SmtRes!AV170</f>
        <v>0</v>
      </c>
      <c r="F70" t="str">
        <f>SmtRes!I170</f>
        <v>203-9009</v>
      </c>
      <c r="G70" t="str">
        <f>SmtRes!K170</f>
        <v>Дверь противопожарная металлическая</v>
      </c>
      <c r="H70" t="str">
        <f>SmtRes!O170</f>
        <v>шт.</v>
      </c>
      <c r="I70">
        <f>SmtRes!Y170*Source!I51</f>
        <v>1.9999999999999998</v>
      </c>
      <c r="J70">
        <f>SmtRes!AO170</f>
        <v>0</v>
      </c>
      <c r="K70">
        <f>SmtRes!AE170</f>
        <v>21868.64</v>
      </c>
      <c r="L70">
        <f t="shared" si="2"/>
        <v>43737.27999999999</v>
      </c>
      <c r="M70">
        <f>SmtRes!AA170</f>
        <v>21868.64</v>
      </c>
      <c r="N70">
        <f t="shared" si="3"/>
        <v>43737.27999999999</v>
      </c>
      <c r="O70">
        <f>SmtRes!X170</f>
        <v>-1423375278</v>
      </c>
      <c r="P70">
        <v>951563698</v>
      </c>
      <c r="Q70">
        <v>951563698</v>
      </c>
    </row>
    <row r="71" spans="1:17" ht="12.75">
      <c r="A71">
        <f>Source!A51</f>
        <v>17</v>
      </c>
      <c r="C71">
        <v>3</v>
      </c>
      <c r="D71">
        <v>0</v>
      </c>
      <c r="E71">
        <f>SmtRes!AV169</f>
        <v>0</v>
      </c>
      <c r="F71" t="str">
        <f>SmtRes!I169</f>
        <v>101-3661</v>
      </c>
      <c r="G71" t="str">
        <f>SmtRes!K169</f>
        <v>Пена монтажная</v>
      </c>
      <c r="H71" t="str">
        <f>SmtRes!O169</f>
        <v>шт.</v>
      </c>
      <c r="I71">
        <f>SmtRes!Y169*Source!I51</f>
        <v>1.3844827586206898</v>
      </c>
      <c r="J71">
        <f>SmtRes!AO169</f>
        <v>0</v>
      </c>
      <c r="K71">
        <f>SmtRes!AE169</f>
        <v>279.66</v>
      </c>
      <c r="L71">
        <f aca="true" t="shared" si="4" ref="L71:L77">I71*K71</f>
        <v>387.18444827586217</v>
      </c>
      <c r="M71">
        <f>SmtRes!AA169</f>
        <v>279.66</v>
      </c>
      <c r="N71">
        <f aca="true" t="shared" si="5" ref="N71:N77">I71*M71</f>
        <v>387.18444827586217</v>
      </c>
      <c r="O71">
        <f>SmtRes!X169</f>
        <v>1417586338</v>
      </c>
      <c r="P71">
        <v>7297891</v>
      </c>
      <c r="Q71">
        <v>7297891</v>
      </c>
    </row>
    <row r="72" spans="1:17" ht="12.75">
      <c r="A72">
        <f>Source!A51</f>
        <v>17</v>
      </c>
      <c r="C72">
        <v>3</v>
      </c>
      <c r="D72">
        <v>0</v>
      </c>
      <c r="E72">
        <f>SmtRes!AV168</f>
        <v>0</v>
      </c>
      <c r="F72" t="str">
        <f>SmtRes!I168</f>
        <v>101-1929</v>
      </c>
      <c r="G72" t="str">
        <f>SmtRes!K168</f>
        <v>Болты анкерные</v>
      </c>
      <c r="H72" t="str">
        <f>SmtRes!O168</f>
        <v>т</v>
      </c>
      <c r="I72">
        <f>SmtRes!Y168*Source!I51</f>
        <v>0.0219</v>
      </c>
      <c r="J72">
        <f>SmtRes!AO168</f>
        <v>0</v>
      </c>
      <c r="K72">
        <f>SmtRes!AE168</f>
        <v>98305.08</v>
      </c>
      <c r="L72">
        <f t="shared" si="4"/>
        <v>2152.881252</v>
      </c>
      <c r="M72">
        <f>SmtRes!AA168</f>
        <v>98305.08</v>
      </c>
      <c r="N72">
        <f t="shared" si="5"/>
        <v>2152.881252</v>
      </c>
      <c r="O72">
        <f>SmtRes!X168</f>
        <v>595706257</v>
      </c>
      <c r="P72">
        <v>1443557013</v>
      </c>
      <c r="Q72">
        <v>1443557013</v>
      </c>
    </row>
    <row r="73" spans="1:17" ht="12.75">
      <c r="A73">
        <f>Source!A51</f>
        <v>17</v>
      </c>
      <c r="C73">
        <v>3</v>
      </c>
      <c r="D73">
        <v>0</v>
      </c>
      <c r="E73">
        <f>SmtRes!AV167</f>
        <v>0</v>
      </c>
      <c r="F73" t="str">
        <f>SmtRes!I167</f>
        <v>101-1513</v>
      </c>
      <c r="G73" t="str">
        <f>SmtRes!K167</f>
        <v>Электроды</v>
      </c>
      <c r="H73" t="str">
        <f>SmtRes!O167</f>
        <v>т</v>
      </c>
      <c r="I73">
        <f>SmtRes!Y167*Source!I51</f>
        <v>0.000584</v>
      </c>
      <c r="J73">
        <f>SmtRes!AO167</f>
        <v>0</v>
      </c>
      <c r="K73">
        <f>SmtRes!AE167</f>
        <v>73728.81</v>
      </c>
      <c r="L73">
        <f t="shared" si="4"/>
        <v>43.05762504</v>
      </c>
      <c r="M73">
        <f>SmtRes!AA167</f>
        <v>73728.81</v>
      </c>
      <c r="N73">
        <f t="shared" si="5"/>
        <v>43.05762504</v>
      </c>
      <c r="O73">
        <f>SmtRes!X167</f>
        <v>1096556115</v>
      </c>
      <c r="P73">
        <v>-786537420</v>
      </c>
      <c r="Q73">
        <v>-786537420</v>
      </c>
    </row>
    <row r="74" spans="1:17" ht="12.75">
      <c r="A74">
        <f>Source!A51</f>
        <v>17</v>
      </c>
      <c r="C74">
        <v>3</v>
      </c>
      <c r="D74">
        <v>0</v>
      </c>
      <c r="E74">
        <f>SmtRes!AV166</f>
        <v>0</v>
      </c>
      <c r="F74">
        <f>SmtRes!I166</f>
      </c>
      <c r="G74" t="str">
        <f>SmtRes!K166</f>
        <v>Доводчик дверной</v>
      </c>
      <c r="H74" t="str">
        <f>SmtRes!O166</f>
        <v>шт.</v>
      </c>
      <c r="I74">
        <f>SmtRes!Y166*Source!I51</f>
        <v>2.1470588235294117</v>
      </c>
      <c r="J74">
        <f>SmtRes!AO166</f>
        <v>0</v>
      </c>
      <c r="K74">
        <f>SmtRes!AE166</f>
        <v>1278.56</v>
      </c>
      <c r="L74">
        <f t="shared" si="4"/>
        <v>2745.1435294117646</v>
      </c>
      <c r="M74">
        <f>SmtRes!AA166</f>
        <v>1278.56</v>
      </c>
      <c r="N74">
        <f t="shared" si="5"/>
        <v>2745.1435294117646</v>
      </c>
      <c r="O74">
        <f>SmtRes!X166</f>
        <v>-143820494</v>
      </c>
      <c r="P74">
        <v>-1083134995</v>
      </c>
      <c r="Q74">
        <v>-1083134995</v>
      </c>
    </row>
    <row r="75" spans="1:17" ht="12.75">
      <c r="A75">
        <f>Source!A52</f>
        <v>17</v>
      </c>
      <c r="C75">
        <v>3</v>
      </c>
      <c r="D75">
        <v>0</v>
      </c>
      <c r="E75">
        <f>SmtRes!AV175</f>
        <v>0</v>
      </c>
      <c r="F75" t="str">
        <f>SmtRes!I175</f>
        <v>203-0514</v>
      </c>
      <c r="G75" t="str">
        <f>SmtRes!K175</f>
        <v>Щиты настила</v>
      </c>
      <c r="H75" t="str">
        <f>SmtRes!O175</f>
        <v>м2</v>
      </c>
      <c r="I75">
        <f>SmtRes!Y175*Source!I52</f>
        <v>1.9194999999999998</v>
      </c>
      <c r="J75">
        <f>SmtRes!AO175</f>
        <v>0</v>
      </c>
      <c r="K75">
        <f>SmtRes!AE175</f>
        <v>322.03</v>
      </c>
      <c r="L75">
        <f t="shared" si="4"/>
        <v>618.1365849999999</v>
      </c>
      <c r="M75">
        <f>SmtRes!AA175</f>
        <v>322.03</v>
      </c>
      <c r="N75">
        <f t="shared" si="5"/>
        <v>618.1365849999999</v>
      </c>
      <c r="O75">
        <f>SmtRes!X175</f>
        <v>66337800</v>
      </c>
      <c r="P75">
        <v>1269244021</v>
      </c>
      <c r="Q75">
        <v>1269244021</v>
      </c>
    </row>
    <row r="76" spans="1:17" ht="12.75">
      <c r="A76">
        <f>Source!A52</f>
        <v>17</v>
      </c>
      <c r="C76">
        <v>3</v>
      </c>
      <c r="D76">
        <v>0</v>
      </c>
      <c r="E76">
        <f>SmtRes!AV174</f>
        <v>0</v>
      </c>
      <c r="F76" t="str">
        <f>SmtRes!I174</f>
        <v>101-9093</v>
      </c>
      <c r="G76" t="str">
        <f>SmtRes!K174</f>
        <v>Детали стальных трубчатых лесов</v>
      </c>
      <c r="H76" t="str">
        <f>SmtRes!O174</f>
        <v>т</v>
      </c>
      <c r="I76">
        <f>SmtRes!Y174*Source!I52</f>
        <v>0.010121</v>
      </c>
      <c r="J76">
        <f>SmtRes!AO174</f>
        <v>0</v>
      </c>
      <c r="K76">
        <f>SmtRes!AE174</f>
        <v>76221.72</v>
      </c>
      <c r="L76">
        <f t="shared" si="4"/>
        <v>771.44002812</v>
      </c>
      <c r="M76">
        <f>SmtRes!AA174</f>
        <v>76221.72</v>
      </c>
      <c r="N76">
        <f t="shared" si="5"/>
        <v>771.44002812</v>
      </c>
      <c r="O76">
        <f>SmtRes!X174</f>
        <v>765189365</v>
      </c>
      <c r="P76">
        <v>-508356987</v>
      </c>
      <c r="Q76">
        <v>-508356987</v>
      </c>
    </row>
    <row r="77" spans="1:17" ht="12.75">
      <c r="A77">
        <f>Source!A52</f>
        <v>17</v>
      </c>
      <c r="C77">
        <v>3</v>
      </c>
      <c r="D77">
        <v>0</v>
      </c>
      <c r="E77">
        <f>SmtRes!AV173</f>
        <v>0</v>
      </c>
      <c r="F77" t="str">
        <f>SmtRes!I173</f>
        <v>101-9087</v>
      </c>
      <c r="G77" t="str">
        <f>SmtRes!K173</f>
        <v>Детали деревянные лесов</v>
      </c>
      <c r="H77" t="str">
        <f>SmtRes!O173</f>
        <v>м3</v>
      </c>
      <c r="I77">
        <f>SmtRes!Y173*Source!I52</f>
        <v>0.0027919999999999998</v>
      </c>
      <c r="J77">
        <f>SmtRes!AO173</f>
        <v>0</v>
      </c>
      <c r="K77">
        <f>SmtRes!AE173</f>
        <v>5508.47</v>
      </c>
      <c r="L77">
        <f t="shared" si="4"/>
        <v>15.37964824</v>
      </c>
      <c r="M77">
        <f>SmtRes!AA173</f>
        <v>5508.47</v>
      </c>
      <c r="N77">
        <f t="shared" si="5"/>
        <v>15.37964824</v>
      </c>
      <c r="O77">
        <f>SmtRes!X173</f>
        <v>-1331700974</v>
      </c>
      <c r="P77">
        <v>-1906280068</v>
      </c>
      <c r="Q77">
        <v>-1906280068</v>
      </c>
    </row>
    <row r="78" ht="12.75">
      <c r="A78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40.7109375" style="0" customWidth="1"/>
    <col min="3" max="6" width="12.7109375" style="0" customWidth="1"/>
    <col min="35" max="35" width="103.7109375" style="0" hidden="1" customWidth="1"/>
    <col min="36" max="37" width="0" style="0" hidden="1" customWidth="1"/>
  </cols>
  <sheetData>
    <row r="2" spans="1:35" ht="16.5">
      <c r="A2" s="108" t="s">
        <v>777</v>
      </c>
      <c r="B2" s="109"/>
      <c r="C2" s="109"/>
      <c r="D2" s="109"/>
      <c r="E2" s="109"/>
      <c r="F2" s="109"/>
      <c r="AI2" s="48" t="s">
        <v>777</v>
      </c>
    </row>
    <row r="3" spans="1:35" ht="16.5">
      <c r="A3" s="108" t="str">
        <f>CONCATENATE("Объект: ",IF(Source!G89&lt;&gt;"Новый объект",Source!G89,""))</f>
        <v>Объект: изоляция</v>
      </c>
      <c r="B3" s="109"/>
      <c r="C3" s="109"/>
      <c r="D3" s="109"/>
      <c r="E3" s="109"/>
      <c r="F3" s="109"/>
      <c r="AI3" s="48" t="s">
        <v>778</v>
      </c>
    </row>
    <row r="4" spans="1:6" ht="12.75">
      <c r="A4" s="114" t="s">
        <v>779</v>
      </c>
      <c r="B4" s="114" t="s">
        <v>780</v>
      </c>
      <c r="C4" s="114" t="s">
        <v>668</v>
      </c>
      <c r="D4" s="114" t="s">
        <v>781</v>
      </c>
      <c r="E4" s="117" t="s">
        <v>782</v>
      </c>
      <c r="F4" s="118"/>
    </row>
    <row r="5" spans="1:6" ht="12.75">
      <c r="A5" s="115"/>
      <c r="B5" s="115"/>
      <c r="C5" s="115"/>
      <c r="D5" s="115"/>
      <c r="E5" s="119"/>
      <c r="F5" s="120"/>
    </row>
    <row r="6" spans="1:6" ht="15">
      <c r="A6" s="116"/>
      <c r="B6" s="116"/>
      <c r="C6" s="116"/>
      <c r="D6" s="116"/>
      <c r="E6" s="49" t="s">
        <v>783</v>
      </c>
      <c r="F6" s="49" t="s">
        <v>784</v>
      </c>
    </row>
    <row r="7" spans="1:6" ht="1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</row>
    <row r="8" spans="1:35" ht="16.5">
      <c r="A8" s="108" t="str">
        <f>CONCATENATE("Локальная смета: ",IF(Source!G22&lt;&gt;"Новая локальная смета",Source!G22,""))</f>
        <v>Локальная смета: Участок изоляции+тамбур</v>
      </c>
      <c r="B8" s="109"/>
      <c r="C8" s="109"/>
      <c r="D8" s="109"/>
      <c r="E8" s="109"/>
      <c r="F8" s="109"/>
      <c r="AI8" s="48" t="s">
        <v>785</v>
      </c>
    </row>
    <row r="9" spans="1:6" ht="15">
      <c r="A9" s="96" t="s">
        <v>786</v>
      </c>
      <c r="B9" s="110"/>
      <c r="C9" s="110"/>
      <c r="D9" s="110"/>
      <c r="E9" s="110"/>
      <c r="F9" s="110"/>
    </row>
    <row r="10" spans="1:37" ht="15">
      <c r="A10" s="50" t="s">
        <v>3</v>
      </c>
      <c r="B10" s="42" t="s">
        <v>336</v>
      </c>
      <c r="C10" s="42" t="s">
        <v>337</v>
      </c>
      <c r="D10" s="51">
        <f>ROUND(SUMIF(RV_DATA!P7:RV_DATA!P77,1520639814,RV_DATA!I7:RV_DATA!I77),6)</f>
        <v>163.348</v>
      </c>
      <c r="E10" s="52">
        <f>SmtRes!AE6</f>
        <v>171.18</v>
      </c>
      <c r="F10" s="52">
        <f>ROUND(SUMIF(RV_DATA!P7:RV_DATA!P77,1520639814,RV_DATA!L7:RV_DATA!L77),6)</f>
        <v>27961.91064</v>
      </c>
      <c r="AK10">
        <v>3</v>
      </c>
    </row>
    <row r="11" spans="1:37" ht="15">
      <c r="A11" s="50" t="s">
        <v>3</v>
      </c>
      <c r="B11" s="42" t="s">
        <v>334</v>
      </c>
      <c r="C11" s="42" t="s">
        <v>335</v>
      </c>
      <c r="D11" s="51">
        <f>ROUND(SUMIF(RV_DATA!P7:RV_DATA!P77,2072340203,RV_DATA!I7:RV_DATA!I77),6)</f>
        <v>0.95448</v>
      </c>
      <c r="E11" s="52">
        <f>SmtRes!AE5</f>
        <v>114</v>
      </c>
      <c r="F11" s="52">
        <f>ROUND(SUMIF(RV_DATA!P7:RV_DATA!P77,2072340203,RV_DATA!L7:RV_DATA!L77),6)</f>
        <v>108.81072</v>
      </c>
      <c r="AK11">
        <v>3</v>
      </c>
    </row>
    <row r="12" spans="1:37" ht="15">
      <c r="A12" s="50" t="s">
        <v>3</v>
      </c>
      <c r="B12" s="42" t="s">
        <v>365</v>
      </c>
      <c r="C12" s="42" t="s">
        <v>352</v>
      </c>
      <c r="D12" s="51">
        <f>ROUND(SUMIF(RV_DATA!P7:RV_DATA!P77,652193118,RV_DATA!I7:RV_DATA!I77),6)</f>
        <v>1215.216</v>
      </c>
      <c r="E12" s="52">
        <f>SmtRes!AE16</f>
        <v>0.4</v>
      </c>
      <c r="F12" s="52">
        <f>ROUND(SUMIF(RV_DATA!P7:RV_DATA!P77,652193118,RV_DATA!L7:RV_DATA!L77),6)</f>
        <v>486.0864</v>
      </c>
      <c r="AK12">
        <v>3</v>
      </c>
    </row>
    <row r="13" spans="1:37" ht="15">
      <c r="A13" s="50" t="s">
        <v>3</v>
      </c>
      <c r="B13" s="42" t="s">
        <v>347</v>
      </c>
      <c r="C13" s="42" t="s">
        <v>348</v>
      </c>
      <c r="D13" s="51">
        <f>ROUND(SUMIF(RV_DATA!P7:RV_DATA!P77,-1340506790,RV_DATA!I7:RV_DATA!I77),6)</f>
        <v>40.74</v>
      </c>
      <c r="E13" s="52">
        <f>SmtRes!AE15</f>
        <v>150</v>
      </c>
      <c r="F13" s="52">
        <f>ROUND(SUMIF(RV_DATA!P7:RV_DATA!P77,-1340506790,RV_DATA!L7:RV_DATA!L77),6)</f>
        <v>6111</v>
      </c>
      <c r="AK13">
        <v>3</v>
      </c>
    </row>
    <row r="14" spans="1:37" ht="15">
      <c r="A14" s="50" t="s">
        <v>3</v>
      </c>
      <c r="B14" s="42" t="s">
        <v>344</v>
      </c>
      <c r="C14" s="42" t="s">
        <v>203</v>
      </c>
      <c r="D14" s="51">
        <f>ROUND(SUMIF(RV_DATA!P7:RV_DATA!P77,1543541134,RV_DATA!I7:RV_DATA!I77),6)</f>
        <v>0.03135</v>
      </c>
      <c r="E14" s="52">
        <f>SmtRes!AE30</f>
        <v>15152.43</v>
      </c>
      <c r="F14" s="52">
        <f>ROUND(SUMIF(RV_DATA!P7:RV_DATA!P77,1543541134,RV_DATA!L7:RV_DATA!L77),6)</f>
        <v>475.034741</v>
      </c>
      <c r="AK14">
        <v>3</v>
      </c>
    </row>
    <row r="15" spans="1:37" ht="15">
      <c r="A15" s="50" t="s">
        <v>3</v>
      </c>
      <c r="B15" s="42" t="s">
        <v>415</v>
      </c>
      <c r="C15" s="42" t="s">
        <v>335</v>
      </c>
      <c r="D15" s="51">
        <f>ROUND(SUMIF(RV_DATA!P7:RV_DATA!P77,262953677,RV_DATA!I7:RV_DATA!I77),6)</f>
        <v>76.638462</v>
      </c>
      <c r="E15" s="52">
        <f>SmtRes!AE45</f>
        <v>25.42</v>
      </c>
      <c r="F15" s="52">
        <f>ROUND(SUMIF(RV_DATA!P7:RV_DATA!P77,262953677,RV_DATA!L7:RV_DATA!L77),6)</f>
        <v>1948.149692</v>
      </c>
      <c r="AK15">
        <v>3</v>
      </c>
    </row>
    <row r="16" spans="1:37" ht="15">
      <c r="A16" s="50" t="s">
        <v>3</v>
      </c>
      <c r="B16" s="42" t="s">
        <v>442</v>
      </c>
      <c r="C16" s="42" t="s">
        <v>203</v>
      </c>
      <c r="D16" s="51">
        <f>ROUND(SUMIF(RV_DATA!P7:RV_DATA!P77,825268815,RV_DATA!I7:RV_DATA!I77),6)</f>
        <v>1.60064</v>
      </c>
      <c r="E16" s="52">
        <f>SmtRes!AE63</f>
        <v>7118.64</v>
      </c>
      <c r="F16" s="52">
        <f>ROUND(SUMIF(RV_DATA!P7:RV_DATA!P77,825268815,RV_DATA!L7:RV_DATA!L77),6)</f>
        <v>11394.37993</v>
      </c>
      <c r="AK16">
        <v>3</v>
      </c>
    </row>
    <row r="17" spans="1:37" ht="15">
      <c r="A17" s="50" t="s">
        <v>3</v>
      </c>
      <c r="B17" s="42" t="s">
        <v>467</v>
      </c>
      <c r="C17" s="42" t="s">
        <v>203</v>
      </c>
      <c r="D17" s="51">
        <f>ROUND(SUMIF(RV_DATA!P7:RV_DATA!P77,1075753876,RV_DATA!I7:RV_DATA!I77),6)</f>
        <v>0.003803</v>
      </c>
      <c r="E17" s="52">
        <f>SmtRes!AE97</f>
        <v>15152.43</v>
      </c>
      <c r="F17" s="52">
        <f>ROUND(SUMIF(RV_DATA!P7:RV_DATA!P77,1075753876,RV_DATA!L7:RV_DATA!L77),6)</f>
        <v>57.623845</v>
      </c>
      <c r="AK17">
        <v>3</v>
      </c>
    </row>
    <row r="18" spans="1:37" ht="15">
      <c r="A18" s="50" t="s">
        <v>3</v>
      </c>
      <c r="B18" s="42" t="s">
        <v>486</v>
      </c>
      <c r="C18" s="42" t="s">
        <v>203</v>
      </c>
      <c r="D18" s="51">
        <f>ROUND(SUMIF(RV_DATA!P7:RV_DATA!P77,-1297933527,RV_DATA!I7:RV_DATA!I77),6)</f>
        <v>0.05446</v>
      </c>
      <c r="E18" s="52">
        <f>SmtRes!AE125</f>
        <v>34745.76</v>
      </c>
      <c r="F18" s="52">
        <f>ROUND(SUMIF(RV_DATA!P7:RV_DATA!P77,-1297933527,RV_DATA!L7:RV_DATA!L77),6)</f>
        <v>1892.25409</v>
      </c>
      <c r="AK18">
        <v>3</v>
      </c>
    </row>
    <row r="19" spans="1:37" ht="15">
      <c r="A19" s="50" t="s">
        <v>3</v>
      </c>
      <c r="B19" s="42" t="s">
        <v>544</v>
      </c>
      <c r="C19" s="42" t="s">
        <v>352</v>
      </c>
      <c r="D19" s="51">
        <f>ROUND(SUMIF(RV_DATA!P7:RV_DATA!P77,-1083134995,RV_DATA!I7:RV_DATA!I77),6)</f>
        <v>2.147059</v>
      </c>
      <c r="E19" s="52">
        <f>SmtRes!AE166</f>
        <v>1278.56</v>
      </c>
      <c r="F19" s="52">
        <f>ROUND(SUMIF(RV_DATA!P7:RV_DATA!P77,-1083134995,RV_DATA!L7:RV_DATA!L77),6)</f>
        <v>2745.143529</v>
      </c>
      <c r="AK19">
        <v>3</v>
      </c>
    </row>
    <row r="20" spans="1:37" ht="15">
      <c r="A20" s="50" t="s">
        <v>498</v>
      </c>
      <c r="B20" s="42" t="s">
        <v>500</v>
      </c>
      <c r="C20" s="42" t="s">
        <v>203</v>
      </c>
      <c r="D20" s="51">
        <f>ROUND(SUMIF(RV_DATA!P7:RV_DATA!P77,-466895949,RV_DATA!I7:RV_DATA!I77),6)</f>
        <v>0.0129</v>
      </c>
      <c r="E20" s="52">
        <f>SmtRes!AE134</f>
        <v>39874.56</v>
      </c>
      <c r="F20" s="52">
        <f>ROUND(SUMIF(RV_DATA!P7:RV_DATA!P77,-466895949,RV_DATA!L7:RV_DATA!L77),6)</f>
        <v>514.399369</v>
      </c>
      <c r="AK20">
        <v>3</v>
      </c>
    </row>
    <row r="21" spans="1:37" ht="30">
      <c r="A21" s="50" t="s">
        <v>430</v>
      </c>
      <c r="B21" s="42" t="s">
        <v>432</v>
      </c>
      <c r="C21" s="42" t="s">
        <v>203</v>
      </c>
      <c r="D21" s="51">
        <f>ROUND(SUMIF(RV_DATA!P7:RV_DATA!P77,-1197279618,RV_DATA!I7:RV_DATA!I77),6)</f>
        <v>0.000103</v>
      </c>
      <c r="E21" s="52">
        <f>SmtRes!AE55</f>
        <v>41060</v>
      </c>
      <c r="F21" s="52">
        <f>ROUND(SUMIF(RV_DATA!P7:RV_DATA!P77,-1197279618,RV_DATA!L7:RV_DATA!L77),6)</f>
        <v>4.242319</v>
      </c>
      <c r="AK21">
        <v>3</v>
      </c>
    </row>
    <row r="22" spans="1:37" ht="45">
      <c r="A22" s="50" t="s">
        <v>449</v>
      </c>
      <c r="B22" s="42" t="s">
        <v>451</v>
      </c>
      <c r="C22" s="42" t="s">
        <v>348</v>
      </c>
      <c r="D22" s="51">
        <f>ROUND(SUMIF(RV_DATA!P7:RV_DATA!P77,-909514091,RV_DATA!I7:RV_DATA!I77),6)</f>
        <v>77.49</v>
      </c>
      <c r="E22" s="52">
        <f>SmtRes!AE69</f>
        <v>333.26</v>
      </c>
      <c r="F22" s="52">
        <f>ROUND(SUMIF(RV_DATA!P7:RV_DATA!P77,-909514091,RV_DATA!L7:RV_DATA!L77),6)</f>
        <v>25824.3174</v>
      </c>
      <c r="AK22">
        <v>3</v>
      </c>
    </row>
    <row r="23" spans="1:37" ht="15">
      <c r="A23" s="50" t="s">
        <v>501</v>
      </c>
      <c r="B23" s="42" t="s">
        <v>503</v>
      </c>
      <c r="C23" s="42" t="s">
        <v>341</v>
      </c>
      <c r="D23" s="51">
        <f>ROUND(SUMIF(RV_DATA!P7:RV_DATA!P77,1305610748,RV_DATA!I7:RV_DATA!I77),6)</f>
        <v>73.7168</v>
      </c>
      <c r="E23" s="52">
        <f>SmtRes!AE135</f>
        <v>247.12</v>
      </c>
      <c r="F23" s="52">
        <f>ROUND(SUMIF(RV_DATA!P7:RV_DATA!P77,1305610748,RV_DATA!L7:RV_DATA!L77),6)</f>
        <v>18216.895616</v>
      </c>
      <c r="AK23">
        <v>3</v>
      </c>
    </row>
    <row r="24" spans="1:37" ht="30">
      <c r="A24" s="50" t="s">
        <v>421</v>
      </c>
      <c r="B24" s="42" t="s">
        <v>423</v>
      </c>
      <c r="C24" s="42" t="s">
        <v>348</v>
      </c>
      <c r="D24" s="51">
        <f>ROUND(SUMIF(RV_DATA!P7:RV_DATA!P77,846547371,RV_DATA!I7:RV_DATA!I77),6)</f>
        <v>85.26852</v>
      </c>
      <c r="E24" s="52">
        <f>SmtRes!AE49</f>
        <v>71.19</v>
      </c>
      <c r="F24" s="52">
        <f>ROUND(SUMIF(RV_DATA!P7:RV_DATA!P77,846547371,RV_DATA!L7:RV_DATA!L77),6)</f>
        <v>6070.265939</v>
      </c>
      <c r="AK24">
        <v>3</v>
      </c>
    </row>
    <row r="25" spans="1:37" ht="15">
      <c r="A25" s="50" t="s">
        <v>545</v>
      </c>
      <c r="B25" s="42" t="s">
        <v>547</v>
      </c>
      <c r="C25" s="42" t="s">
        <v>203</v>
      </c>
      <c r="D25" s="51">
        <f>ROUND(SUMIF(RV_DATA!P7:RV_DATA!P77,-786537420,RV_DATA!I7:RV_DATA!I77),6)</f>
        <v>0.000584</v>
      </c>
      <c r="E25" s="52">
        <f>SmtRes!AE167</f>
        <v>73728.81</v>
      </c>
      <c r="F25" s="52">
        <f>ROUND(SUMIF(RV_DATA!P7:RV_DATA!P77,-786537420,RV_DATA!L7:RV_DATA!L77),6)</f>
        <v>43.057625</v>
      </c>
      <c r="AK25">
        <v>3</v>
      </c>
    </row>
    <row r="26" spans="1:37" ht="30">
      <c r="A26" s="50" t="s">
        <v>402</v>
      </c>
      <c r="B26" s="42" t="s">
        <v>404</v>
      </c>
      <c r="C26" s="42" t="s">
        <v>348</v>
      </c>
      <c r="D26" s="51">
        <f>ROUND(SUMIF(RV_DATA!P7:RV_DATA!P77,-949515704,RV_DATA!I7:RV_DATA!I77),6)</f>
        <v>0.30921</v>
      </c>
      <c r="E26" s="52">
        <f>SmtRes!AE35</f>
        <v>406.78</v>
      </c>
      <c r="F26" s="52">
        <f>ROUND(SUMIF(RV_DATA!P7:RV_DATA!P77,-949515704,RV_DATA!L7:RV_DATA!L77),6)</f>
        <v>125.780444</v>
      </c>
      <c r="AK26">
        <v>3</v>
      </c>
    </row>
    <row r="27" spans="1:37" ht="15">
      <c r="A27" s="50" t="s">
        <v>405</v>
      </c>
      <c r="B27" s="42" t="s">
        <v>344</v>
      </c>
      <c r="C27" s="42" t="s">
        <v>203</v>
      </c>
      <c r="D27" s="51">
        <f>ROUND(SUMIF(RV_DATA!P7:RV_DATA!P77,-770101224,RV_DATA!I7:RV_DATA!I77),6)</f>
        <v>0.005154</v>
      </c>
      <c r="E27" s="52">
        <f>SmtRes!AE36</f>
        <v>15152.43</v>
      </c>
      <c r="F27" s="52">
        <f>ROUND(SUMIF(RV_DATA!P7:RV_DATA!P77,-770101224,RV_DATA!L7:RV_DATA!L77),6)</f>
        <v>78.088048</v>
      </c>
      <c r="AK27">
        <v>3</v>
      </c>
    </row>
    <row r="28" spans="1:37" ht="15">
      <c r="A28" s="50" t="s">
        <v>392</v>
      </c>
      <c r="B28" s="42" t="s">
        <v>394</v>
      </c>
      <c r="C28" s="42" t="s">
        <v>341</v>
      </c>
      <c r="D28" s="51">
        <f>ROUND(SUMIF(RV_DATA!P7:RV_DATA!P77,838672520,RV_DATA!I7:RV_DATA!I77),6)</f>
        <v>0.51087</v>
      </c>
      <c r="E28" s="52">
        <f>SmtRes!AE27</f>
        <v>52.32</v>
      </c>
      <c r="F28" s="52">
        <f>ROUND(SUMIF(RV_DATA!P7:RV_DATA!P77,838672520,RV_DATA!L7:RV_DATA!L77),6)</f>
        <v>26.728718</v>
      </c>
      <c r="AK28">
        <v>3</v>
      </c>
    </row>
    <row r="29" spans="1:37" ht="15">
      <c r="A29" s="50" t="s">
        <v>392</v>
      </c>
      <c r="B29" s="42" t="s">
        <v>394</v>
      </c>
      <c r="C29" s="42" t="s">
        <v>341</v>
      </c>
      <c r="D29" s="51">
        <f>ROUND(SUMIF(RV_DATA!P7:RV_DATA!P77,-1269851874,RV_DATA!I7:RV_DATA!I77),6)</f>
        <v>0.0738</v>
      </c>
      <c r="E29" s="52">
        <f>SmtRes!AE42</f>
        <v>52.82</v>
      </c>
      <c r="F29" s="52">
        <f>ROUND(SUMIF(RV_DATA!P7:RV_DATA!P77,-1269851874,RV_DATA!L7:RV_DATA!L77),6)</f>
        <v>3.898116</v>
      </c>
      <c r="AK29">
        <v>3</v>
      </c>
    </row>
    <row r="30" spans="1:37" ht="15">
      <c r="A30" s="50" t="s">
        <v>392</v>
      </c>
      <c r="B30" s="42" t="s">
        <v>394</v>
      </c>
      <c r="C30" s="42" t="s">
        <v>341</v>
      </c>
      <c r="D30" s="51">
        <f>ROUND(SUMIF(RV_DATA!P7:RV_DATA!P77,1471889621,RV_DATA!I7:RV_DATA!I77),6)</f>
        <v>0.0596</v>
      </c>
      <c r="E30" s="52">
        <f>SmtRes!AE77</f>
        <v>52.32</v>
      </c>
      <c r="F30" s="52">
        <f>ROUND(SUMIF(RV_DATA!P7:RV_DATA!P77,1471889621,RV_DATA!L7:RV_DATA!L77),6)</f>
        <v>3.118272</v>
      </c>
      <c r="AK30">
        <v>3</v>
      </c>
    </row>
    <row r="31" spans="1:37" ht="30">
      <c r="A31" s="50" t="s">
        <v>452</v>
      </c>
      <c r="B31" s="42" t="s">
        <v>454</v>
      </c>
      <c r="C31" s="42" t="s">
        <v>203</v>
      </c>
      <c r="D31" s="51">
        <f>ROUND(SUMIF(RV_DATA!P7:RV_DATA!P77,-1622466415,RV_DATA!I7:RV_DATA!I77),6)</f>
        <v>0.27675</v>
      </c>
      <c r="E31" s="52">
        <f>SmtRes!AE71</f>
        <v>10338.98</v>
      </c>
      <c r="F31" s="52">
        <f>ROUND(SUMIF(RV_DATA!P7:RV_DATA!P77,-1622466415,RV_DATA!L7:RV_DATA!L77),6)</f>
        <v>2861.312715</v>
      </c>
      <c r="AK31">
        <v>3</v>
      </c>
    </row>
    <row r="32" spans="1:37" ht="15">
      <c r="A32" s="50" t="s">
        <v>548</v>
      </c>
      <c r="B32" s="42" t="s">
        <v>550</v>
      </c>
      <c r="C32" s="42" t="s">
        <v>203</v>
      </c>
      <c r="D32" s="51">
        <f>ROUND(SUMIF(RV_DATA!P7:RV_DATA!P77,1443557013,RV_DATA!I7:RV_DATA!I77),6)</f>
        <v>0.0219</v>
      </c>
      <c r="E32" s="52">
        <f>SmtRes!AE168</f>
        <v>98305.08</v>
      </c>
      <c r="F32" s="52">
        <f>ROUND(SUMIF(RV_DATA!P7:RV_DATA!P77,1443557013,RV_DATA!L7:RV_DATA!L77),6)</f>
        <v>2152.881252</v>
      </c>
      <c r="AK32">
        <v>3</v>
      </c>
    </row>
    <row r="33" spans="1:37" ht="15">
      <c r="A33" s="50" t="s">
        <v>407</v>
      </c>
      <c r="B33" s="42" t="s">
        <v>409</v>
      </c>
      <c r="C33" s="42" t="s">
        <v>203</v>
      </c>
      <c r="D33" s="51">
        <f>ROUND(SUMIF(RV_DATA!P7:RV_DATA!P77,-304996022,RV_DATA!I7:RV_DATA!I77),6)</f>
        <v>0.053409</v>
      </c>
      <c r="E33" s="52">
        <f>SmtRes!AE38</f>
        <v>106810</v>
      </c>
      <c r="F33" s="52">
        <f>ROUND(SUMIF(RV_DATA!P7:RV_DATA!P77,-304996022,RV_DATA!L7:RV_DATA!L77),6)</f>
        <v>5704.61529</v>
      </c>
      <c r="AK33">
        <v>3</v>
      </c>
    </row>
    <row r="34" spans="1:37" ht="30">
      <c r="A34" s="50" t="s">
        <v>513</v>
      </c>
      <c r="B34" s="42" t="s">
        <v>515</v>
      </c>
      <c r="C34" s="42" t="s">
        <v>203</v>
      </c>
      <c r="D34" s="51">
        <f>ROUND(SUMIF(RV_DATA!P7:RV_DATA!P77,852955383,RV_DATA!I7:RV_DATA!I77),6)</f>
        <v>0.058513</v>
      </c>
      <c r="E34" s="52">
        <f>SmtRes!AE145</f>
        <v>49868.65</v>
      </c>
      <c r="F34" s="52">
        <f>ROUND(SUMIF(RV_DATA!P7:RV_DATA!P77,852955383,RV_DATA!L7:RV_DATA!L77),6)</f>
        <v>2917.949856</v>
      </c>
      <c r="AK34">
        <v>3</v>
      </c>
    </row>
    <row r="35" spans="1:37" ht="15">
      <c r="A35" s="50" t="s">
        <v>516</v>
      </c>
      <c r="B35" s="42" t="s">
        <v>518</v>
      </c>
      <c r="C35" s="42" t="s">
        <v>203</v>
      </c>
      <c r="D35" s="51">
        <f>ROUND(SUMIF(RV_DATA!P7:RV_DATA!P77,1808136864,RV_DATA!I7:RV_DATA!I77),6)</f>
        <v>0.390238</v>
      </c>
      <c r="E35" s="52">
        <f>SmtRes!AE146</f>
        <v>37674</v>
      </c>
      <c r="F35" s="52">
        <f>ROUND(SUMIF(RV_DATA!P7:RV_DATA!P77,1808136864,RV_DATA!L7:RV_DATA!L77),6)</f>
        <v>14701.838091</v>
      </c>
      <c r="AK35">
        <v>3</v>
      </c>
    </row>
    <row r="36" spans="1:37" ht="45">
      <c r="A36" s="50" t="s">
        <v>468</v>
      </c>
      <c r="B36" s="42" t="s">
        <v>470</v>
      </c>
      <c r="C36" s="42" t="s">
        <v>352</v>
      </c>
      <c r="D36" s="51">
        <f>ROUND(SUMIF(RV_DATA!P7:RV_DATA!P77,1308764029,RV_DATA!I7:RV_DATA!I77),6)</f>
        <v>2.547</v>
      </c>
      <c r="E36" s="52">
        <f>SmtRes!AE107</f>
        <v>279.66</v>
      </c>
      <c r="F36" s="52">
        <f>ROUND(SUMIF(RV_DATA!P7:RV_DATA!P77,1308764029,RV_DATA!L7:RV_DATA!L77),6)</f>
        <v>712.29402</v>
      </c>
      <c r="AK36">
        <v>3</v>
      </c>
    </row>
    <row r="37" spans="1:37" ht="15">
      <c r="A37" s="50" t="s">
        <v>338</v>
      </c>
      <c r="B37" s="42" t="s">
        <v>340</v>
      </c>
      <c r="C37" s="42" t="s">
        <v>341</v>
      </c>
      <c r="D37" s="51">
        <f>ROUND(SUMIF(RV_DATA!P7:RV_DATA!P77,-1771285487,RV_DATA!I7:RV_DATA!I77),6)</f>
        <v>4.268</v>
      </c>
      <c r="E37" s="52">
        <f>SmtRes!AE7</f>
        <v>35.59</v>
      </c>
      <c r="F37" s="52">
        <f>ROUND(SUMIF(RV_DATA!P7:RV_DATA!P77,-1771285487,RV_DATA!L7:RV_DATA!L77),6)</f>
        <v>151.89812</v>
      </c>
      <c r="AK37">
        <v>3</v>
      </c>
    </row>
    <row r="38" spans="1:37" ht="15">
      <c r="A38" s="50" t="s">
        <v>342</v>
      </c>
      <c r="B38" s="42" t="s">
        <v>344</v>
      </c>
      <c r="C38" s="42" t="s">
        <v>341</v>
      </c>
      <c r="D38" s="51">
        <f>ROUND(SUMIF(RV_DATA!P7:RV_DATA!P77,-18991123,RV_DATA!I7:RV_DATA!I77),6)</f>
        <v>21.728</v>
      </c>
      <c r="E38" s="52">
        <f>SmtRes!AE8</f>
        <v>15.15</v>
      </c>
      <c r="F38" s="52">
        <f>ROUND(SUMIF(RV_DATA!P7:RV_DATA!P77,-18991123,RV_DATA!L7:RV_DATA!L77),6)</f>
        <v>329.1792</v>
      </c>
      <c r="AK38">
        <v>3</v>
      </c>
    </row>
    <row r="39" spans="1:37" ht="15">
      <c r="A39" s="50" t="s">
        <v>345</v>
      </c>
      <c r="B39" s="42" t="s">
        <v>347</v>
      </c>
      <c r="C39" s="42" t="s">
        <v>348</v>
      </c>
      <c r="D39" s="51">
        <f>ROUND(SUMIF(RV_DATA!P7:RV_DATA!P77,1711151055,RV_DATA!I7:RV_DATA!I77),6)</f>
        <v>43.068</v>
      </c>
      <c r="E39" s="52">
        <f>SmtRes!AE9</f>
        <v>150</v>
      </c>
      <c r="F39" s="52">
        <f>ROUND(SUMIF(RV_DATA!P7:RV_DATA!P77,1711151055,RV_DATA!L7:RV_DATA!L77),6)</f>
        <v>6460.2</v>
      </c>
      <c r="AK39">
        <v>3</v>
      </c>
    </row>
    <row r="40" spans="1:37" ht="15">
      <c r="A40" s="50" t="s">
        <v>349</v>
      </c>
      <c r="B40" s="42" t="s">
        <v>351</v>
      </c>
      <c r="C40" s="42" t="s">
        <v>352</v>
      </c>
      <c r="D40" s="51">
        <f>ROUND(SUMIF(RV_DATA!P7:RV_DATA!P77,1978723227,RV_DATA!I7:RV_DATA!I77),6)</f>
        <v>1215.216</v>
      </c>
      <c r="E40" s="52">
        <f>SmtRes!AE10</f>
        <v>0.4</v>
      </c>
      <c r="F40" s="52">
        <f>ROUND(SUMIF(RV_DATA!P7:RV_DATA!P77,1978723227,RV_DATA!L7:RV_DATA!L77),6)</f>
        <v>486.0864</v>
      </c>
      <c r="AK40">
        <v>3</v>
      </c>
    </row>
    <row r="41" spans="1:37" ht="15">
      <c r="A41" s="50" t="s">
        <v>353</v>
      </c>
      <c r="B41" s="42" t="s">
        <v>355</v>
      </c>
      <c r="C41" s="42" t="s">
        <v>352</v>
      </c>
      <c r="D41" s="51">
        <f>ROUND(SUMIF(RV_DATA!P7:RV_DATA!P77,820970972,RV_DATA!I7:RV_DATA!I77),6)</f>
        <v>150.932</v>
      </c>
      <c r="E41" s="52">
        <f>SmtRes!AE11</f>
        <v>2.12</v>
      </c>
      <c r="F41" s="52">
        <f>ROUND(SUMIF(RV_DATA!P7:RV_DATA!P77,820970972,RV_DATA!L7:RV_DATA!L77),6)</f>
        <v>319.97584</v>
      </c>
      <c r="AK41">
        <v>3</v>
      </c>
    </row>
    <row r="42" spans="1:37" ht="30">
      <c r="A42" s="50" t="s">
        <v>380</v>
      </c>
      <c r="B42" s="42" t="s">
        <v>382</v>
      </c>
      <c r="C42" s="42" t="s">
        <v>352</v>
      </c>
      <c r="D42" s="51">
        <f>ROUND(SUMIF(RV_DATA!P7:RV_DATA!P77,1778209816,RV_DATA!I7:RV_DATA!I77),6)</f>
        <v>5.760248</v>
      </c>
      <c r="E42" s="52">
        <f>SmtRes!AE22</f>
        <v>112</v>
      </c>
      <c r="F42" s="52">
        <f>ROUND(SUMIF(RV_DATA!P7:RV_DATA!P77,1778209816,RV_DATA!L7:RV_DATA!L77),6)</f>
        <v>645.147776</v>
      </c>
      <c r="AK42">
        <v>3</v>
      </c>
    </row>
    <row r="43" spans="1:37" ht="15">
      <c r="A43" s="50" t="s">
        <v>551</v>
      </c>
      <c r="B43" s="42" t="s">
        <v>553</v>
      </c>
      <c r="C43" s="42" t="s">
        <v>352</v>
      </c>
      <c r="D43" s="51">
        <f>ROUND(SUMIF(RV_DATA!P7:RV_DATA!P77,7297891,RV_DATA!I7:RV_DATA!I77),6)</f>
        <v>1.384483</v>
      </c>
      <c r="E43" s="52">
        <f>SmtRes!AE169</f>
        <v>279.66</v>
      </c>
      <c r="F43" s="52">
        <f>ROUND(SUMIF(RV_DATA!P7:RV_DATA!P77,7297891,RV_DATA!L7:RV_DATA!L77),6)</f>
        <v>387.184448</v>
      </c>
      <c r="AK43">
        <v>3</v>
      </c>
    </row>
    <row r="44" spans="1:37" ht="15">
      <c r="A44" s="50" t="s">
        <v>559</v>
      </c>
      <c r="B44" s="42" t="s">
        <v>561</v>
      </c>
      <c r="C44" s="42" t="s">
        <v>377</v>
      </c>
      <c r="D44" s="51">
        <f>ROUND(SUMIF(RV_DATA!P7:RV_DATA!P77,-1906280068,RV_DATA!I7:RV_DATA!I77),6)</f>
        <v>0.002792</v>
      </c>
      <c r="E44" s="52">
        <f>SmtRes!AE173</f>
        <v>5508.47</v>
      </c>
      <c r="F44" s="52">
        <f>ROUND(SUMIF(RV_DATA!P7:RV_DATA!P77,-1906280068,RV_DATA!L7:RV_DATA!L77),6)</f>
        <v>15.379648</v>
      </c>
      <c r="AK44">
        <v>3</v>
      </c>
    </row>
    <row r="45" spans="1:37" ht="15">
      <c r="A45" s="50" t="s">
        <v>562</v>
      </c>
      <c r="B45" s="42" t="s">
        <v>564</v>
      </c>
      <c r="C45" s="42" t="s">
        <v>203</v>
      </c>
      <c r="D45" s="51">
        <f>ROUND(SUMIF(RV_DATA!P7:RV_DATA!P77,-508356987,RV_DATA!I7:RV_DATA!I77),6)</f>
        <v>0.010121</v>
      </c>
      <c r="E45" s="52">
        <f>SmtRes!AE174</f>
        <v>76221.72</v>
      </c>
      <c r="F45" s="52">
        <f>ROUND(SUMIF(RV_DATA!P7:RV_DATA!P77,-508356987,RV_DATA!L7:RV_DATA!L77),6)</f>
        <v>771.440028</v>
      </c>
      <c r="AK45">
        <v>3</v>
      </c>
    </row>
    <row r="46" spans="1:37" ht="15">
      <c r="A46" s="50" t="s">
        <v>471</v>
      </c>
      <c r="B46" s="42" t="s">
        <v>473</v>
      </c>
      <c r="C46" s="42" t="s">
        <v>337</v>
      </c>
      <c r="D46" s="51">
        <f>ROUND(SUMIF(RV_DATA!P7:RV_DATA!P77,34630537,RV_DATA!I7:RV_DATA!I77),6)</f>
        <v>4.725</v>
      </c>
      <c r="E46" s="52">
        <f>SmtRes!AE108</f>
        <v>366.1</v>
      </c>
      <c r="F46" s="52">
        <f>ROUND(SUMIF(RV_DATA!P7:RV_DATA!P77,34630537,RV_DATA!L7:RV_DATA!L77),6)</f>
        <v>1729.8225</v>
      </c>
      <c r="AK46">
        <v>3</v>
      </c>
    </row>
    <row r="47" spans="1:37" ht="15">
      <c r="A47" s="50" t="s">
        <v>395</v>
      </c>
      <c r="B47" s="42" t="s">
        <v>397</v>
      </c>
      <c r="C47" s="42" t="s">
        <v>203</v>
      </c>
      <c r="D47" s="51">
        <f>ROUND(SUMIF(RV_DATA!P7:RV_DATA!P77,-1362092224,RV_DATA!I7:RV_DATA!I77),6)</f>
        <v>0.010064</v>
      </c>
      <c r="E47" s="52">
        <f>SmtRes!AE28</f>
        <v>35593.22</v>
      </c>
      <c r="F47" s="52">
        <f>ROUND(SUMIF(RV_DATA!P7:RV_DATA!P77,-1362092224,RV_DATA!L7:RV_DATA!L77),6)</f>
        <v>358.210166</v>
      </c>
      <c r="AK47">
        <v>3</v>
      </c>
    </row>
    <row r="48" spans="1:37" ht="15">
      <c r="A48" s="50" t="s">
        <v>395</v>
      </c>
      <c r="B48" s="42" t="s">
        <v>397</v>
      </c>
      <c r="C48" s="42" t="s">
        <v>203</v>
      </c>
      <c r="D48" s="51">
        <f>ROUND(SUMIF(RV_DATA!P7:RV_DATA!P77,-1579021760,RV_DATA!I7:RV_DATA!I77),6)</f>
        <v>0.009594</v>
      </c>
      <c r="E48" s="52">
        <f>SmtRes!AE43</f>
        <v>38983.05</v>
      </c>
      <c r="F48" s="52">
        <f>ROUND(SUMIF(RV_DATA!P7:RV_DATA!P77,-1579021760,RV_DATA!L7:RV_DATA!L77),6)</f>
        <v>374.003382</v>
      </c>
      <c r="AK48">
        <v>3</v>
      </c>
    </row>
    <row r="49" spans="1:37" ht="15">
      <c r="A49" s="50" t="s">
        <v>395</v>
      </c>
      <c r="B49" s="42" t="s">
        <v>459</v>
      </c>
      <c r="C49" s="42" t="s">
        <v>203</v>
      </c>
      <c r="D49" s="51">
        <f>ROUND(SUMIF(RV_DATA!P7:RV_DATA!P77,-323790427,RV_DATA!I7:RV_DATA!I77),6)</f>
        <v>0.006526</v>
      </c>
      <c r="E49" s="52">
        <f>SmtRes!AE78</f>
        <v>49857.01</v>
      </c>
      <c r="F49" s="52">
        <f>ROUND(SUMIF(RV_DATA!P7:RV_DATA!P77,-323790427,RV_DATA!L7:RV_DATA!L77),6)</f>
        <v>325.366847</v>
      </c>
      <c r="AK49">
        <v>3</v>
      </c>
    </row>
    <row r="50" spans="1:37" ht="15">
      <c r="A50" s="50" t="s">
        <v>395</v>
      </c>
      <c r="B50" s="42" t="s">
        <v>397</v>
      </c>
      <c r="C50" s="42" t="s">
        <v>203</v>
      </c>
      <c r="D50" s="51">
        <f>ROUND(SUMIF(RV_DATA!P7:RV_DATA!P77,650474858,RV_DATA!I7:RV_DATA!I77),6)</f>
        <v>0.00094</v>
      </c>
      <c r="E50" s="52">
        <f>SmtRes!AE102</f>
        <v>35593.22</v>
      </c>
      <c r="F50" s="52">
        <f>ROUND(SUMIF(RV_DATA!P7:RV_DATA!P77,650474858,RV_DATA!L7:RV_DATA!L77),6)</f>
        <v>33.457627</v>
      </c>
      <c r="AK50">
        <v>3</v>
      </c>
    </row>
    <row r="51" spans="1:37" ht="45">
      <c r="A51" s="50" t="s">
        <v>487</v>
      </c>
      <c r="B51" s="42" t="s">
        <v>489</v>
      </c>
      <c r="C51" s="42" t="s">
        <v>377</v>
      </c>
      <c r="D51" s="51">
        <f>ROUND(SUMIF(RV_DATA!P7:RV_DATA!P77,1292842012,RV_DATA!I7:RV_DATA!I77),6)</f>
        <v>0.07391</v>
      </c>
      <c r="E51" s="52">
        <f>SmtRes!AE126</f>
        <v>5508.47</v>
      </c>
      <c r="F51" s="52">
        <f>ROUND(SUMIF(RV_DATA!P7:RV_DATA!P77,1292842012,RV_DATA!L7:RV_DATA!L77),6)</f>
        <v>407.131018</v>
      </c>
      <c r="AK51">
        <v>3</v>
      </c>
    </row>
    <row r="52" spans="1:37" ht="15">
      <c r="A52" s="50" t="s">
        <v>474</v>
      </c>
      <c r="B52" s="42" t="s">
        <v>476</v>
      </c>
      <c r="C52" s="42" t="s">
        <v>352</v>
      </c>
      <c r="D52" s="51">
        <f>ROUND(SUMIF(RV_DATA!P7:RV_DATA!P77,-558797262,RV_DATA!I7:RV_DATA!I77),6)</f>
        <v>18</v>
      </c>
      <c r="E52" s="52">
        <f>SmtRes!AE109</f>
        <v>0.5</v>
      </c>
      <c r="F52" s="52">
        <f>ROUND(SUMIF(RV_DATA!P7:RV_DATA!P77,-558797262,RV_DATA!L7:RV_DATA!L77),6)</f>
        <v>9</v>
      </c>
      <c r="AK52">
        <v>3</v>
      </c>
    </row>
    <row r="53" spans="1:37" ht="15">
      <c r="A53" s="50" t="s">
        <v>374</v>
      </c>
      <c r="B53" s="42" t="s">
        <v>376</v>
      </c>
      <c r="C53" s="42" t="s">
        <v>377</v>
      </c>
      <c r="D53" s="51">
        <f>ROUND(SUMIF(RV_DATA!P7:RV_DATA!P77,-123133817,RV_DATA!I7:RV_DATA!I77),6)</f>
        <v>3.9576</v>
      </c>
      <c r="E53" s="52">
        <f>SmtRes!AE20</f>
        <v>3946.75</v>
      </c>
      <c r="F53" s="52">
        <f>ROUND(SUMIF(RV_DATA!P7:RV_DATA!P77,-123133817,RV_DATA!L7:RV_DATA!L77),6)</f>
        <v>15619.6578</v>
      </c>
      <c r="AK53">
        <v>3</v>
      </c>
    </row>
    <row r="54" spans="1:37" ht="15">
      <c r="A54" s="50" t="s">
        <v>525</v>
      </c>
      <c r="B54" s="42" t="s">
        <v>527</v>
      </c>
      <c r="C54" s="42" t="s">
        <v>203</v>
      </c>
      <c r="D54" s="51">
        <f>ROUND(SUMIF(RV_DATA!P7:RV_DATA!P77,49952627,RV_DATA!I7:RV_DATA!I77),6)</f>
        <v>0.003225</v>
      </c>
      <c r="E54" s="52">
        <f>SmtRes!AE154</f>
        <v>132200</v>
      </c>
      <c r="F54" s="52">
        <f>ROUND(SUMIF(RV_DATA!P7:RV_DATA!P77,49952627,RV_DATA!L7:RV_DATA!L77),6)</f>
        <v>426.359542</v>
      </c>
      <c r="AK54">
        <v>3</v>
      </c>
    </row>
    <row r="55" spans="1:37" ht="45">
      <c r="A55" s="50" t="s">
        <v>519</v>
      </c>
      <c r="B55" s="42" t="s">
        <v>521</v>
      </c>
      <c r="C55" s="42" t="s">
        <v>348</v>
      </c>
      <c r="D55" s="51">
        <f>ROUND(SUMIF(RV_DATA!P7:RV_DATA!P77,-1529388494,RV_DATA!I7:RV_DATA!I77),6)</f>
        <v>46.99446</v>
      </c>
      <c r="E55" s="52">
        <f>SmtRes!AE147</f>
        <v>1758</v>
      </c>
      <c r="F55" s="52">
        <f>ROUND(SUMIF(RV_DATA!P7:RV_DATA!P77,-1529388494,RV_DATA!L7:RV_DATA!L77),6)</f>
        <v>82616.26068</v>
      </c>
      <c r="AK55">
        <v>3</v>
      </c>
    </row>
    <row r="56" spans="1:37" ht="30">
      <c r="A56" s="50" t="s">
        <v>528</v>
      </c>
      <c r="B56" s="42" t="s">
        <v>530</v>
      </c>
      <c r="C56" s="42" t="s">
        <v>203</v>
      </c>
      <c r="D56" s="51">
        <f>ROUND(SUMIF(RV_DATA!P7:RV_DATA!P77,1220774517,RV_DATA!I7:RV_DATA!I77),6)</f>
        <v>0.002304</v>
      </c>
      <c r="E56" s="52">
        <f>SmtRes!AE155</f>
        <v>658043.5</v>
      </c>
      <c r="F56" s="52">
        <f>ROUND(SUMIF(RV_DATA!P7:RV_DATA!P77,1220774517,RV_DATA!L7:RV_DATA!L77),6)</f>
        <v>1515.901909</v>
      </c>
      <c r="AK56">
        <v>3</v>
      </c>
    </row>
    <row r="57" spans="1:37" ht="15">
      <c r="A57" s="50" t="s">
        <v>531</v>
      </c>
      <c r="B57" s="42" t="s">
        <v>533</v>
      </c>
      <c r="C57" s="42" t="s">
        <v>203</v>
      </c>
      <c r="D57" s="51">
        <f>ROUND(SUMIF(RV_DATA!P7:RV_DATA!P77,2071368592,RV_DATA!I7:RV_DATA!I77),6)</f>
        <v>0.023037</v>
      </c>
      <c r="E57" s="52">
        <f>SmtRes!AE156</f>
        <v>498000</v>
      </c>
      <c r="F57" s="52">
        <f>ROUND(SUMIF(RV_DATA!P7:RV_DATA!P77,2071368592,RV_DATA!L7:RV_DATA!L77),6)</f>
        <v>11472.177</v>
      </c>
      <c r="AK57">
        <v>3</v>
      </c>
    </row>
    <row r="58" spans="1:37" ht="15">
      <c r="A58" s="50" t="s">
        <v>504</v>
      </c>
      <c r="B58" s="42" t="s">
        <v>506</v>
      </c>
      <c r="C58" s="42" t="s">
        <v>203</v>
      </c>
      <c r="D58" s="51">
        <f>ROUND(SUMIF(RV_DATA!P7:RV_DATA!P77,-726019058,RV_DATA!I7:RV_DATA!I77),6)</f>
        <v>0.0129</v>
      </c>
      <c r="E58" s="52">
        <f>SmtRes!AE136</f>
        <v>81420</v>
      </c>
      <c r="F58" s="52">
        <f>ROUND(SUMIF(RV_DATA!P7:RV_DATA!P77,-726019058,RV_DATA!L7:RV_DATA!L77),6)</f>
        <v>1050.353825</v>
      </c>
      <c r="AK58">
        <v>3</v>
      </c>
    </row>
    <row r="59" spans="1:37" ht="30">
      <c r="A59" s="50" t="s">
        <v>522</v>
      </c>
      <c r="B59" s="42" t="s">
        <v>524</v>
      </c>
      <c r="C59" s="42" t="s">
        <v>203</v>
      </c>
      <c r="D59" s="51">
        <f>ROUND(SUMIF(RV_DATA!P7:RV_DATA!P77,2034310201,RV_DATA!I7:RV_DATA!I77),6)</f>
        <v>0.876308</v>
      </c>
      <c r="E59" s="52">
        <f>SmtRes!AE148</f>
        <v>16798.8</v>
      </c>
      <c r="F59" s="52">
        <f>ROUND(SUMIF(RV_DATA!P7:RV_DATA!P77,2034310201,RV_DATA!L7:RV_DATA!L77),6)</f>
        <v>14720.930558</v>
      </c>
      <c r="AK59">
        <v>3</v>
      </c>
    </row>
    <row r="60" spans="1:37" ht="15">
      <c r="A60" s="50" t="s">
        <v>534</v>
      </c>
      <c r="B60" s="42" t="s">
        <v>536</v>
      </c>
      <c r="C60" s="42" t="s">
        <v>203</v>
      </c>
      <c r="D60" s="51">
        <f>ROUND(SUMIF(RV_DATA!P7:RV_DATA!P77,-721506892,RV_DATA!I7:RV_DATA!I77),6)</f>
        <v>0.002304</v>
      </c>
      <c r="E60" s="52">
        <f>SmtRes!AE158</f>
        <v>350700.9</v>
      </c>
      <c r="F60" s="52">
        <f>ROUND(SUMIF(RV_DATA!P7:RV_DATA!P77,-721506892,RV_DATA!L7:RV_DATA!L77),6)</f>
        <v>807.892128</v>
      </c>
      <c r="AK60">
        <v>3</v>
      </c>
    </row>
    <row r="61" spans="1:37" ht="15">
      <c r="A61" s="50" t="s">
        <v>507</v>
      </c>
      <c r="B61" s="42" t="s">
        <v>509</v>
      </c>
      <c r="C61" s="42" t="s">
        <v>203</v>
      </c>
      <c r="D61" s="51">
        <f>ROUND(SUMIF(RV_DATA!P7:RV_DATA!P77,-445142656,RV_DATA!I7:RV_DATA!I77),6)</f>
        <v>0.350155</v>
      </c>
      <c r="E61" s="52">
        <f>SmtRes!AE137</f>
        <v>183264</v>
      </c>
      <c r="F61" s="52">
        <f>ROUND(SUMIF(RV_DATA!P7:RV_DATA!P77,-445142656,RV_DATA!L7:RV_DATA!L77),6)</f>
        <v>64170.769267</v>
      </c>
      <c r="AK61">
        <v>3</v>
      </c>
    </row>
    <row r="62" spans="1:37" ht="15">
      <c r="A62" s="50" t="s">
        <v>384</v>
      </c>
      <c r="B62" s="42" t="s">
        <v>386</v>
      </c>
      <c r="C62" s="42" t="s">
        <v>348</v>
      </c>
      <c r="D62" s="51">
        <f>ROUND(SUMIF(RV_DATA!P7:RV_DATA!P77,1664792354,RV_DATA!I7:RV_DATA!I77),6)</f>
        <v>89.24</v>
      </c>
      <c r="E62" s="52">
        <f>SmtRes!AE23</f>
        <v>27.12</v>
      </c>
      <c r="F62" s="52">
        <f>ROUND(SUMIF(RV_DATA!P7:RV_DATA!P77,1664792354,RV_DATA!L7:RV_DATA!L77),6)</f>
        <v>2420.1888</v>
      </c>
      <c r="AK62">
        <v>3</v>
      </c>
    </row>
    <row r="63" spans="1:37" ht="15">
      <c r="A63" s="50" t="s">
        <v>565</v>
      </c>
      <c r="B63" s="42" t="s">
        <v>567</v>
      </c>
      <c r="C63" s="42" t="s">
        <v>348</v>
      </c>
      <c r="D63" s="51">
        <f>ROUND(SUMIF(RV_DATA!P7:RV_DATA!P77,1269244021,RV_DATA!I7:RV_DATA!I77),6)</f>
        <v>1.9195</v>
      </c>
      <c r="E63" s="52">
        <f>SmtRes!AE175</f>
        <v>322.03</v>
      </c>
      <c r="F63" s="52">
        <f>ROUND(SUMIF(RV_DATA!P7:RV_DATA!P77,1269244021,RV_DATA!L7:RV_DATA!L77),6)</f>
        <v>618.136585</v>
      </c>
      <c r="AK63">
        <v>3</v>
      </c>
    </row>
    <row r="64" spans="1:37" ht="15">
      <c r="A64" s="50" t="s">
        <v>554</v>
      </c>
      <c r="B64" s="42" t="s">
        <v>556</v>
      </c>
      <c r="C64" s="42" t="s">
        <v>352</v>
      </c>
      <c r="D64" s="51">
        <f>ROUND(SUMIF(RV_DATA!P7:RV_DATA!P77,951563698,RV_DATA!I7:RV_DATA!I77),6)</f>
        <v>2</v>
      </c>
      <c r="E64" s="52">
        <f>SmtRes!AE170</f>
        <v>21868.64</v>
      </c>
      <c r="F64" s="52">
        <f>ROUND(SUMIF(RV_DATA!P7:RV_DATA!P77,951563698,RV_DATA!L7:RV_DATA!L77),6)</f>
        <v>43737.28</v>
      </c>
      <c r="AK64">
        <v>3</v>
      </c>
    </row>
    <row r="65" spans="1:37" ht="30">
      <c r="A65" s="50" t="s">
        <v>490</v>
      </c>
      <c r="B65" s="42" t="s">
        <v>492</v>
      </c>
      <c r="C65" s="42" t="s">
        <v>377</v>
      </c>
      <c r="D65" s="51">
        <f>ROUND(SUMIF(RV_DATA!P7:RV_DATA!P77,1615110291,RV_DATA!I7:RV_DATA!I77),6)</f>
        <v>9.9195</v>
      </c>
      <c r="E65" s="52">
        <f>SmtRes!AE127</f>
        <v>4576.27</v>
      </c>
      <c r="F65" s="52">
        <f>ROUND(SUMIF(RV_DATA!P7:RV_DATA!P77,1615110291,RV_DATA!L7:RV_DATA!L77),6)</f>
        <v>45394.310265</v>
      </c>
      <c r="AK65">
        <v>3</v>
      </c>
    </row>
    <row r="66" spans="1:37" ht="15">
      <c r="A66" s="50" t="s">
        <v>460</v>
      </c>
      <c r="B66" s="42" t="s">
        <v>462</v>
      </c>
      <c r="C66" s="42" t="s">
        <v>203</v>
      </c>
      <c r="D66" s="51">
        <f>ROUND(SUMIF(RV_DATA!P7:RV_DATA!P77,88922101,RV_DATA!I7:RV_DATA!I77),6)</f>
        <v>0.48694</v>
      </c>
      <c r="E66" s="52">
        <f>SmtRes!AE85</f>
        <v>10451.98</v>
      </c>
      <c r="F66" s="52">
        <f>ROUND(SUMIF(RV_DATA!P7:RV_DATA!P77,88922101,RV_DATA!L7:RV_DATA!L77),6)</f>
        <v>5089.487141</v>
      </c>
      <c r="AK66">
        <v>3</v>
      </c>
    </row>
    <row r="67" spans="1:37" ht="30">
      <c r="A67" s="50" t="s">
        <v>455</v>
      </c>
      <c r="B67" s="42" t="s">
        <v>457</v>
      </c>
      <c r="C67" s="42" t="s">
        <v>203</v>
      </c>
      <c r="D67" s="51">
        <f>ROUND(SUMIF(RV_DATA!P7:RV_DATA!P77,-2098924352,RV_DATA!I7:RV_DATA!I77),6)</f>
        <v>0.0369</v>
      </c>
      <c r="E67" s="52">
        <f>SmtRes!AE72</f>
        <v>55084.75</v>
      </c>
      <c r="F67" s="52">
        <f>ROUND(SUMIF(RV_DATA!P7:RV_DATA!P77,-2098924352,RV_DATA!L7:RV_DATA!L77),6)</f>
        <v>2032.627275</v>
      </c>
      <c r="AK67">
        <v>3</v>
      </c>
    </row>
    <row r="68" spans="1:37" ht="15">
      <c r="A68" s="50" t="s">
        <v>424</v>
      </c>
      <c r="B68" s="42" t="s">
        <v>426</v>
      </c>
      <c r="C68" s="42" t="s">
        <v>203</v>
      </c>
      <c r="D68" s="51">
        <f>ROUND(SUMIF(RV_DATA!P7:RV_DATA!P77,-1294595037,RV_DATA!I7:RV_DATA!I77),6)</f>
        <v>0.1845</v>
      </c>
      <c r="E68" s="52">
        <f>SmtRes!AE50</f>
        <v>10362.67</v>
      </c>
      <c r="F68" s="52">
        <f>ROUND(SUMIF(RV_DATA!P7:RV_DATA!P77,-1294595037,RV_DATA!L7:RV_DATA!L77),6)</f>
        <v>1911.912615</v>
      </c>
      <c r="AK68">
        <v>3</v>
      </c>
    </row>
    <row r="69" spans="1:37" ht="15">
      <c r="A69" s="50" t="s">
        <v>424</v>
      </c>
      <c r="B69" s="42" t="s">
        <v>426</v>
      </c>
      <c r="C69" s="42" t="s">
        <v>203</v>
      </c>
      <c r="D69" s="51">
        <f>ROUND(SUMIF(RV_DATA!P7:RV_DATA!P77,-40802900,RV_DATA!I7:RV_DATA!I77),6)</f>
        <v>0.008856</v>
      </c>
      <c r="E69" s="52">
        <f>SmtRes!AE58</f>
        <v>10169.49</v>
      </c>
      <c r="F69" s="52">
        <f>ROUND(SUMIF(RV_DATA!P7:RV_DATA!P77,-40802900,RV_DATA!L7:RV_DATA!L77),6)</f>
        <v>90.061003</v>
      </c>
      <c r="AK69">
        <v>3</v>
      </c>
    </row>
    <row r="70" spans="1:6" ht="14.25">
      <c r="A70" s="106" t="s">
        <v>787</v>
      </c>
      <c r="B70" s="106"/>
      <c r="C70" s="106"/>
      <c r="D70" s="106"/>
      <c r="E70" s="107">
        <f>SUMIF(AK10:AK69,3,F10:F69)</f>
        <v>439639.86606999993</v>
      </c>
      <c r="F70" s="107"/>
    </row>
    <row r="72" spans="1:35" ht="16.5">
      <c r="A72" s="111" t="str">
        <f>CONCATENATE("Итого по объекту: ",IF(Source!G89&lt;&gt;"Новый объект",Source!G89,""))</f>
        <v>Итого по объекту: изоляция</v>
      </c>
      <c r="B72" s="112"/>
      <c r="C72" s="112"/>
      <c r="D72" s="112"/>
      <c r="E72" s="112"/>
      <c r="F72" s="113"/>
      <c r="AI72" s="48" t="s">
        <v>788</v>
      </c>
    </row>
    <row r="73" spans="1:6" ht="14.25">
      <c r="A73" s="106" t="s">
        <v>787</v>
      </c>
      <c r="B73" s="106"/>
      <c r="C73" s="106"/>
      <c r="D73" s="106"/>
      <c r="E73" s="107">
        <f>SUMIF(AK1:AK72,3,F1:F72)</f>
        <v>439639.86606999993</v>
      </c>
      <c r="F73" s="107"/>
    </row>
    <row r="74" spans="1:6" ht="15" customHeight="1" hidden="1">
      <c r="A74" s="106" t="s">
        <v>789</v>
      </c>
      <c r="B74" s="106"/>
      <c r="C74" s="106"/>
      <c r="D74" s="106"/>
      <c r="E74" s="107">
        <f>SUMIF(AK1:AK73,4,F1:F73)</f>
        <v>0</v>
      </c>
      <c r="F74" s="107"/>
    </row>
  </sheetData>
  <sheetProtection/>
  <mergeCells count="16">
    <mergeCell ref="A2:F2"/>
    <mergeCell ref="A3:F3"/>
    <mergeCell ref="A4:A6"/>
    <mergeCell ref="B4:B6"/>
    <mergeCell ref="C4:C6"/>
    <mergeCell ref="D4:D6"/>
    <mergeCell ref="E4:F5"/>
    <mergeCell ref="A74:D74"/>
    <mergeCell ref="E74:F74"/>
    <mergeCell ref="A8:F8"/>
    <mergeCell ref="A9:F9"/>
    <mergeCell ref="A70:D70"/>
    <mergeCell ref="E70:F70"/>
    <mergeCell ref="A72:F72"/>
    <mergeCell ref="A73:D73"/>
    <mergeCell ref="E73:F73"/>
  </mergeCells>
  <printOptions/>
  <pageMargins left="0.6" right="0.4" top="0.65" bottom="0.4" header="0.4" footer="0.4"/>
  <pageSetup horizontalDpi="600" verticalDpi="600" orientation="portrait" paperSize="9" scale="96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75.7109375" style="0" customWidth="1"/>
    <col min="3" max="5" width="15.7109375" style="0" customWidth="1"/>
    <col min="30" max="30" width="114.7109375" style="0" customWidth="1"/>
    <col min="31" max="31" width="129.7109375" style="0" customWidth="1"/>
  </cols>
  <sheetData>
    <row r="1" spans="1:5" ht="14.25">
      <c r="A1" s="10"/>
      <c r="B1" s="10"/>
      <c r="C1" s="10"/>
      <c r="D1" s="10"/>
      <c r="E1" s="10"/>
    </row>
    <row r="2" spans="1:5" ht="15">
      <c r="A2" s="10"/>
      <c r="B2" s="10"/>
      <c r="C2" s="122" t="s">
        <v>790</v>
      </c>
      <c r="D2" s="122"/>
      <c r="E2" s="10"/>
    </row>
    <row r="3" spans="1:5" ht="15">
      <c r="A3" s="10"/>
      <c r="B3" s="10"/>
      <c r="C3" s="53"/>
      <c r="D3" s="53"/>
      <c r="E3" s="10"/>
    </row>
    <row r="4" spans="1:5" ht="15">
      <c r="A4" s="10"/>
      <c r="B4" s="10"/>
      <c r="C4" s="123"/>
      <c r="D4" s="123"/>
      <c r="E4" s="10"/>
    </row>
    <row r="5" spans="1:5" ht="15">
      <c r="A5" s="10"/>
      <c r="B5" s="10"/>
      <c r="C5" s="54"/>
      <c r="D5" s="54"/>
      <c r="E5" s="10"/>
    </row>
    <row r="6" spans="1:5" ht="15">
      <c r="A6" s="10"/>
      <c r="B6" s="10"/>
      <c r="C6" s="123"/>
      <c r="D6" s="123"/>
      <c r="E6" s="10"/>
    </row>
    <row r="7" spans="1:5" ht="15">
      <c r="A7" s="10"/>
      <c r="B7" s="10"/>
      <c r="C7" s="54"/>
      <c r="D7" s="54"/>
      <c r="E7" s="10"/>
    </row>
    <row r="8" spans="1:5" ht="15">
      <c r="A8" s="10"/>
      <c r="B8" s="122" t="s">
        <v>791</v>
      </c>
      <c r="C8" s="122"/>
      <c r="D8" s="55"/>
      <c r="E8" s="10"/>
    </row>
    <row r="9" spans="1:5" ht="14.25">
      <c r="A9" s="10"/>
      <c r="B9" s="10"/>
      <c r="C9" s="10"/>
      <c r="D9" s="10"/>
      <c r="E9" s="10"/>
    </row>
    <row r="10" spans="1:5" ht="14.25">
      <c r="A10" s="10"/>
      <c r="B10" s="10"/>
      <c r="C10" s="10"/>
      <c r="D10" s="10"/>
      <c r="E10" s="10"/>
    </row>
    <row r="11" spans="1:30" ht="15.75">
      <c r="A11" s="124" t="str">
        <f>CONCATENATE("Дефектный акт ",IF(Source!AN15&lt;&gt;"",Source!AN15," "))</f>
        <v>Дефектный акт  </v>
      </c>
      <c r="B11" s="124"/>
      <c r="C11" s="124"/>
      <c r="D11" s="124"/>
      <c r="E11" s="10"/>
      <c r="AD11" s="56" t="str">
        <f>CONCATENATE("Дефектный акт ",IF(Source!AN15&lt;&gt;"",Source!AN15," "))</f>
        <v>Дефектный акт  </v>
      </c>
    </row>
    <row r="12" spans="1:30" ht="15">
      <c r="A12" s="125" t="str">
        <f>CONCATENATE("На капитальный ремонт ",Source!F12)</f>
        <v>На капитальный ремонт Новый объект</v>
      </c>
      <c r="B12" s="125"/>
      <c r="C12" s="125"/>
      <c r="D12" s="125"/>
      <c r="E12" s="10"/>
      <c r="AD12" s="57" t="str">
        <f>CONCATENATE("На капитальный ремонт ",Source!F12)</f>
        <v>На капитальный ремонт Новый объект</v>
      </c>
    </row>
    <row r="13" spans="1:5" ht="14.25">
      <c r="A13" s="10"/>
      <c r="B13" s="10"/>
      <c r="C13" s="10"/>
      <c r="D13" s="10"/>
      <c r="E13" s="10"/>
    </row>
    <row r="14" spans="1:5" ht="15">
      <c r="A14" s="10"/>
      <c r="B14" s="58" t="s">
        <v>792</v>
      </c>
      <c r="C14" s="10"/>
      <c r="D14" s="10"/>
      <c r="E14" s="10"/>
    </row>
    <row r="15" spans="1:5" ht="15">
      <c r="A15" s="10"/>
      <c r="B15" s="58" t="s">
        <v>793</v>
      </c>
      <c r="C15" s="10"/>
      <c r="D15" s="10"/>
      <c r="E15" s="10"/>
    </row>
    <row r="16" spans="1:5" ht="15">
      <c r="A16" s="10"/>
      <c r="B16" s="58" t="s">
        <v>794</v>
      </c>
      <c r="C16" s="10"/>
      <c r="D16" s="10"/>
      <c r="E16" s="10"/>
    </row>
    <row r="17" spans="1:5" ht="28.5">
      <c r="A17" s="59" t="s">
        <v>665</v>
      </c>
      <c r="B17" s="59" t="s">
        <v>795</v>
      </c>
      <c r="C17" s="59" t="s">
        <v>668</v>
      </c>
      <c r="D17" s="59" t="s">
        <v>669</v>
      </c>
      <c r="E17" s="60" t="s">
        <v>796</v>
      </c>
    </row>
    <row r="18" spans="1:5" ht="14.25">
      <c r="A18" s="62">
        <v>1</v>
      </c>
      <c r="B18" s="62">
        <v>2</v>
      </c>
      <c r="C18" s="62">
        <v>3</v>
      </c>
      <c r="D18" s="62">
        <v>4</v>
      </c>
      <c r="E18" s="63">
        <v>5</v>
      </c>
    </row>
    <row r="19" spans="1:31" ht="16.5">
      <c r="A19" s="121" t="str">
        <f>CONCATENATE("Локальная смета: ",Source!G20)</f>
        <v>Локальная смета: Участок изоляции+тамбур</v>
      </c>
      <c r="B19" s="121"/>
      <c r="C19" s="121"/>
      <c r="D19" s="121"/>
      <c r="E19" s="121"/>
      <c r="AE19" s="61" t="str">
        <f>CONCATENATE("Локальная смета: ",Source!G20)</f>
        <v>Локальная смета: Участок изоляции+тамбур</v>
      </c>
    </row>
    <row r="20" spans="1:5" ht="28.5">
      <c r="A20" s="68" t="str">
        <f>Source!E24</f>
        <v>1</v>
      </c>
      <c r="B20" s="69" t="str">
        <f>Source!G24</f>
        <v>Устройство подвесных потолков из гипсоволокнистых листов (ГВЛ) по системе «КНАУФ» одноуровневых (П 213)</v>
      </c>
      <c r="C20" s="70" t="str">
        <f>Source!H24</f>
        <v>100 м2 потолка</v>
      </c>
      <c r="D20" s="71">
        <f>Source!I24</f>
        <v>0.388</v>
      </c>
      <c r="E20" s="68"/>
    </row>
    <row r="21" spans="1:5" ht="14.25">
      <c r="A21" s="68" t="str">
        <f>Source!E25</f>
        <v>2</v>
      </c>
      <c r="B21" s="69" t="str">
        <f>Source!G25</f>
        <v>Подшивка потолков листами ГВЛВ</v>
      </c>
      <c r="C21" s="70" t="str">
        <f>Source!H25</f>
        <v>100 м2</v>
      </c>
      <c r="D21" s="71">
        <f>Source!I25</f>
        <v>0.388</v>
      </c>
      <c r="E21" s="68"/>
    </row>
    <row r="22" spans="1:5" ht="28.5">
      <c r="A22" s="68" t="str">
        <f>Source!E26</f>
        <v>3</v>
      </c>
      <c r="B22" s="69" t="str">
        <f>Source!G26</f>
        <v>Изоляция покрытий и перекрытий изделиями из волокнистых и зернистых материалов насухо</v>
      </c>
      <c r="C22" s="70" t="str">
        <f>Source!H26</f>
        <v>1 м3 изоляции</v>
      </c>
      <c r="D22" s="71">
        <f>Source!I26</f>
        <v>3.88</v>
      </c>
      <c r="E22" s="68"/>
    </row>
    <row r="23" spans="1:5" ht="57">
      <c r="A23" s="68" t="str">
        <f>Source!E27</f>
        <v>4</v>
      </c>
      <c r="B23" s="69" t="str">
        <f>Source!G27</f>
        <v>Установка пароизоляционного слоя в 2 слоя</v>
      </c>
      <c r="C23" s="70" t="str">
        <f>Source!H27</f>
        <v>100 м2 поверхности покрытия изоляции</v>
      </c>
      <c r="D23" s="71">
        <f>Source!I27</f>
        <v>0.388</v>
      </c>
      <c r="E23" s="68"/>
    </row>
    <row r="24" spans="1:5" ht="28.5">
      <c r="A24" s="68" t="str">
        <f>Source!E28</f>
        <v>5</v>
      </c>
      <c r="B24" s="69" t="str">
        <f>Source!G28</f>
        <v>Покрытие поверхностей грунтовкой глубокого проникновения за 1 раз потолков</v>
      </c>
      <c r="C24" s="70" t="str">
        <f>Source!H28</f>
        <v>100 м2 покрытия</v>
      </c>
      <c r="D24" s="71">
        <f>Source!I28</f>
        <v>0.388</v>
      </c>
      <c r="E24" s="68"/>
    </row>
    <row r="25" spans="1:5" ht="42.75">
      <c r="A25" s="68" t="str">
        <f>Source!E29</f>
        <v>6</v>
      </c>
      <c r="B25" s="69" t="str">
        <f>Source!G29</f>
        <v>Сплошная шпаклевка ранее оштукатуренных поверхностей за 2 раза</v>
      </c>
      <c r="C25" s="70" t="str">
        <f>Source!H29</f>
        <v>100 м2 ошпаклеванной поверхности</v>
      </c>
      <c r="D25" s="71">
        <f>Source!I29</f>
        <v>0.388</v>
      </c>
      <c r="E25" s="68"/>
    </row>
    <row r="26" spans="1:5" ht="42.75">
      <c r="A26" s="68" t="str">
        <f>Source!E30</f>
        <v>7</v>
      </c>
      <c r="B26" s="69" t="str">
        <f>Source!G30</f>
        <v>Окраска потолков краской ХВ-785</v>
      </c>
      <c r="C26" s="70" t="str">
        <f>Source!H30</f>
        <v>100 м2 окрашиваемой поверхности</v>
      </c>
      <c r="D26" s="71">
        <f>Source!I30</f>
        <v>0.388</v>
      </c>
      <c r="E26" s="68"/>
    </row>
    <row r="27" spans="1:5" ht="28.5">
      <c r="A27" s="68" t="str">
        <f>Source!E31</f>
        <v>8</v>
      </c>
      <c r="B27" s="69" t="str">
        <f>Source!G31</f>
        <v>Покрытие поверхностей грунтовкой глубокого проникновения за 1 раз стен</v>
      </c>
      <c r="C27" s="70" t="str">
        <f>Source!H31</f>
        <v>100 м2 покрытия</v>
      </c>
      <c r="D27" s="71">
        <f>Source!I31</f>
        <v>0.738</v>
      </c>
      <c r="E27" s="68"/>
    </row>
    <row r="28" spans="1:5" ht="14.25">
      <c r="A28" s="68" t="str">
        <f>Source!E32</f>
        <v>9</v>
      </c>
      <c r="B28" s="69" t="str">
        <f>Source!G32</f>
        <v>Установка маячных реек</v>
      </c>
      <c r="C28" s="70" t="str">
        <f>Source!H32</f>
        <v>100 м2</v>
      </c>
      <c r="D28" s="71">
        <f>Source!I32</f>
        <v>0.738</v>
      </c>
      <c r="E28" s="68"/>
    </row>
    <row r="29" spans="1:5" ht="28.5">
      <c r="A29" s="68" t="str">
        <f>Source!E33</f>
        <v>10</v>
      </c>
      <c r="B29" s="69" t="str">
        <f>Source!G33</f>
        <v>Устройство основания под штукатурку из металлической сетки по кирпичным и бетонным поверхностям</v>
      </c>
      <c r="C29" s="70" t="str">
        <f>Source!H33</f>
        <v>100 м2 поверхности</v>
      </c>
      <c r="D29" s="71">
        <f>Source!I33</f>
        <v>0.738</v>
      </c>
      <c r="E29" s="68"/>
    </row>
    <row r="30" spans="1:5" ht="57">
      <c r="A30" s="68" t="str">
        <f>Source!E34</f>
        <v>11</v>
      </c>
      <c r="B30" s="69" t="str">
        <f>Source!G34</f>
        <v>Штукатурка поверхностей внутри здания цементно-известковым или цементным раствором по камню и бетону простая стен</v>
      </c>
      <c r="C30" s="70" t="str">
        <f>Source!H34</f>
        <v>100 м2 оштукатуриваемой поверхности</v>
      </c>
      <c r="D30" s="71">
        <f>Source!I34</f>
        <v>0.738</v>
      </c>
      <c r="E30" s="68"/>
    </row>
    <row r="31" spans="1:5" ht="28.5">
      <c r="A31" s="68" t="str">
        <f>Source!E35</f>
        <v>12</v>
      </c>
      <c r="B31" s="69" t="str">
        <f>Source!G35</f>
        <v>Приготовление отделочных растворов</v>
      </c>
      <c r="C31" s="70" t="str">
        <f>Source!H35</f>
        <v>100 М3 РАСТВОРА</v>
      </c>
      <c r="D31" s="71">
        <f>Source!I35</f>
        <v>0.0223</v>
      </c>
      <c r="E31" s="68"/>
    </row>
    <row r="32" spans="1:5" ht="42.75">
      <c r="A32" s="68" t="str">
        <f>Source!E36</f>
        <v>13</v>
      </c>
      <c r="B32" s="69" t="str">
        <f>Source!G36</f>
        <v>Гладкая облицовка стен керамической плиткой на клее из сухих смесей по кирпичу и бетону</v>
      </c>
      <c r="C32" s="70" t="str">
        <f>Source!H36</f>
        <v>100 м2 поверхности облицовки</v>
      </c>
      <c r="D32" s="71">
        <f>Source!I36</f>
        <v>0.738</v>
      </c>
      <c r="E32" s="68"/>
    </row>
    <row r="33" spans="1:5" ht="28.5">
      <c r="A33" s="68" t="str">
        <f>Source!E37</f>
        <v>14</v>
      </c>
      <c r="B33" s="69" t="str">
        <f>Source!G37</f>
        <v>Покрытие поверхностей грунтовкой глубокого проникновения за 1 раз стен</v>
      </c>
      <c r="C33" s="70" t="str">
        <f>Source!H37</f>
        <v>100 м2 покрытия</v>
      </c>
      <c r="D33" s="71">
        <f>Source!I37</f>
        <v>0.502</v>
      </c>
      <c r="E33" s="68"/>
    </row>
    <row r="34" spans="1:5" ht="57">
      <c r="A34" s="68" t="str">
        <f>Source!E38</f>
        <v>15</v>
      </c>
      <c r="B34" s="69" t="str">
        <f>Source!G38</f>
        <v>Сплошное выравнивание внутренних поверхностей (однослойное оштукатуривание)из сухих растворных смесей толщиной до 10 мм стен</v>
      </c>
      <c r="C34" s="70" t="str">
        <f>Source!H38</f>
        <v>100 м2 оштукатуриваемой поверхности</v>
      </c>
      <c r="D34" s="71">
        <f>Source!I38</f>
        <v>0.502</v>
      </c>
      <c r="E34" s="68"/>
    </row>
    <row r="35" spans="1:5" ht="57">
      <c r="A35" s="68" t="str">
        <f>Source!E39</f>
        <v>16</v>
      </c>
      <c r="B35" s="69" t="str">
        <f>Source!G39</f>
        <v>Ремонт штукатурки откосов внутри здания по камню и бетону цементно-известковым раствором прямолинейных</v>
      </c>
      <c r="C35" s="70" t="str">
        <f>Source!H39</f>
        <v>100 м2 отремонтированной поверхности</v>
      </c>
      <c r="D35" s="71">
        <f>Source!I39</f>
        <v>0.047</v>
      </c>
      <c r="E35" s="68"/>
    </row>
    <row r="36" spans="1:5" ht="28.5">
      <c r="A36" s="68" t="str">
        <f>Source!E40</f>
        <v>17</v>
      </c>
      <c r="B36" s="69" t="str">
        <f>Source!G40</f>
        <v>Приготовление отделочных растворов</v>
      </c>
      <c r="C36" s="70" t="str">
        <f>Source!H40</f>
        <v>100 М3 РАСТВОРА</v>
      </c>
      <c r="D36" s="71">
        <f>Source!I40</f>
        <v>0.0021</v>
      </c>
      <c r="E36" s="68"/>
    </row>
    <row r="37" spans="1:5" ht="42.75">
      <c r="A37" s="68" t="str">
        <f>Source!E41</f>
        <v>18</v>
      </c>
      <c r="B37" s="69" t="str">
        <f>Source!G41</f>
        <v>Шпаклевка откосов за 2 раза</v>
      </c>
      <c r="C37" s="70" t="str">
        <f>Source!H41</f>
        <v>100 м2 ошпаклеванной поверхности</v>
      </c>
      <c r="D37" s="71">
        <f>Source!I41</f>
        <v>0.047</v>
      </c>
      <c r="E37" s="68"/>
    </row>
    <row r="38" spans="1:5" ht="28.5">
      <c r="A38" s="68" t="str">
        <f>Source!E42</f>
        <v>19</v>
      </c>
      <c r="B38" s="69" t="str">
        <f>Source!G42</f>
        <v>Грунтовка откосов за 2 раза</v>
      </c>
      <c r="C38" s="70" t="str">
        <f>Source!H42</f>
        <v>100 м2 покрытия</v>
      </c>
      <c r="D38" s="71">
        <f>Source!I42</f>
        <v>0.047</v>
      </c>
      <c r="E38" s="68"/>
    </row>
    <row r="39" spans="1:5" ht="28.5">
      <c r="A39" s="68" t="str">
        <f>Source!E43</f>
        <v>20</v>
      </c>
      <c r="B39" s="69" t="str">
        <f>Source!G43</f>
        <v>Установка подоконных досок из ПВХ в каменных стенах толщиной до 0,51 м</v>
      </c>
      <c r="C39" s="70" t="str">
        <f>Source!H43</f>
        <v>100 п. м</v>
      </c>
      <c r="D39" s="71">
        <f>Source!I43</f>
        <v>0.045</v>
      </c>
      <c r="E39" s="68"/>
    </row>
    <row r="40" spans="1:5" ht="42.75">
      <c r="A40" s="68" t="str">
        <f>Source!E44</f>
        <v>21</v>
      </c>
      <c r="B40" s="69" t="str">
        <f>Source!G44</f>
        <v>Окраска стен  краской ХВ-785</v>
      </c>
      <c r="C40" s="70" t="str">
        <f>Source!H44</f>
        <v>100 м2 окрашиваемой поверхности</v>
      </c>
      <c r="D40" s="71">
        <f>Source!I44</f>
        <v>0.549</v>
      </c>
      <c r="E40" s="68"/>
    </row>
    <row r="41" spans="1:5" ht="14.25">
      <c r="A41" s="68" t="str">
        <f>Source!E45</f>
        <v>22</v>
      </c>
      <c r="B41" s="69" t="str">
        <f>Source!G45</f>
        <v>Разборка бетонных полов толщиной  250 мм</v>
      </c>
      <c r="C41" s="70" t="str">
        <f>Source!H45</f>
        <v>1 м3</v>
      </c>
      <c r="D41" s="71">
        <f>Source!I45</f>
        <v>9.725</v>
      </c>
      <c r="E41" s="68"/>
    </row>
    <row r="42" spans="1:5" ht="14.25">
      <c r="A42" s="68" t="str">
        <f>Source!E46</f>
        <v>23</v>
      </c>
      <c r="B42" s="69" t="str">
        <f>Source!G46</f>
        <v>Устройство полов бетонных толщиной 250 мм</v>
      </c>
      <c r="C42" s="70" t="str">
        <f>Source!H46</f>
        <v>100 м2 пола</v>
      </c>
      <c r="D42" s="71">
        <f>Source!I46</f>
        <v>0.389</v>
      </c>
      <c r="E42" s="68"/>
    </row>
    <row r="43" spans="1:5" ht="42.75">
      <c r="A43" s="68" t="str">
        <f>Source!E47</f>
        <v>24</v>
      </c>
      <c r="B43" s="69" t="str">
        <f>Source!G47</f>
        <v>Оклейка бетонной поверхности полиизобутиленовыми пластинами толщиной 2,5 мм на клее 88-СА со сваркой листов в 2 слоя</v>
      </c>
      <c r="C43" s="70" t="str">
        <f>Source!H47</f>
        <v>1 м2 оклеиваемой поверхности</v>
      </c>
      <c r="D43" s="71">
        <f>Source!I47</f>
        <v>46.073</v>
      </c>
      <c r="E43" s="68"/>
    </row>
    <row r="44" spans="1:5" ht="42.75">
      <c r="A44" s="68" t="str">
        <f>Source!E48</f>
        <v>25</v>
      </c>
      <c r="B44" s="69" t="str">
        <f>Source!G48</f>
        <v>Футеровка штучными кислотоупорными материалами на силикатной кислотоупорной замазке впустошовку плиткой кислотоупорной (керамической) толщиной 35 мм</v>
      </c>
      <c r="C44" s="70" t="str">
        <f>Source!H48</f>
        <v>1 м2 площади футеровки</v>
      </c>
      <c r="D44" s="71">
        <f>Source!I48</f>
        <v>46.073</v>
      </c>
      <c r="E44" s="68"/>
    </row>
    <row r="45" spans="1:5" ht="57">
      <c r="A45" s="68" t="str">
        <f>Source!E49</f>
        <v>26</v>
      </c>
      <c r="B45" s="69" t="str">
        <f>Source!G49</f>
        <v>Разделка швов футеровки эпоксидной замазкой при укладке плитки кислотоупорной керамической, глубина заполнения швов 15 мм</v>
      </c>
      <c r="C45" s="70" t="str">
        <f>Source!H49</f>
        <v>1 м2 разделываемой поверхности</v>
      </c>
      <c r="D45" s="71">
        <f>Source!I49</f>
        <v>46.073</v>
      </c>
      <c r="E45" s="68"/>
    </row>
    <row r="46" spans="1:5" ht="14.25">
      <c r="A46" s="68" t="str">
        <f>Source!E50</f>
        <v>27</v>
      </c>
      <c r="B46" s="69" t="str">
        <f>Source!G50</f>
        <v>Разборка деревянных заполнений проемов дверных</v>
      </c>
      <c r="C46" s="70" t="str">
        <f>Source!H50</f>
        <v>100 м2</v>
      </c>
      <c r="D46" s="71">
        <f>Source!I50</f>
        <v>0.073</v>
      </c>
      <c r="E46" s="68"/>
    </row>
    <row r="47" spans="1:5" ht="14.25">
      <c r="A47" s="68" t="str">
        <f>Source!E51</f>
        <v>28</v>
      </c>
      <c r="B47" s="69" t="str">
        <f>Source!G51</f>
        <v>Установка противопожарных дверей двупольных глухих</v>
      </c>
      <c r="C47" s="70" t="str">
        <f>Source!H51</f>
        <v>1 м2 проема</v>
      </c>
      <c r="D47" s="71">
        <f>Source!I51</f>
        <v>7.3</v>
      </c>
      <c r="E47" s="68"/>
    </row>
    <row r="48" spans="1:5" ht="42.75">
      <c r="A48" s="68" t="str">
        <f>Source!E52</f>
        <v>29</v>
      </c>
      <c r="B48" s="69" t="str">
        <f>Source!G52</f>
        <v>Установка и разборка внутренних трубчатых инвентарных лесов при высоте помещений до 6 м</v>
      </c>
      <c r="C48" s="70" t="str">
        <f>Source!H52</f>
        <v>100 м2 горизонтальной проекции</v>
      </c>
      <c r="D48" s="71">
        <f>Source!I52</f>
        <v>0.349</v>
      </c>
      <c r="E48" s="68"/>
    </row>
    <row r="49" spans="1:5" ht="14.25">
      <c r="A49" s="68" t="str">
        <f>Source!E53</f>
        <v>30</v>
      </c>
      <c r="B49" s="69" t="str">
        <f>Source!G53</f>
        <v>Очистка помещений от строительного мусора</v>
      </c>
      <c r="C49" s="70" t="str">
        <f>Source!H53</f>
        <v>100 т мусора</v>
      </c>
      <c r="D49" s="71">
        <f>Source!I53</f>
        <v>0.264</v>
      </c>
      <c r="E49" s="68"/>
    </row>
    <row r="50" spans="1:5" ht="28.5">
      <c r="A50" s="68" t="str">
        <f>Source!E54</f>
        <v>31</v>
      </c>
      <c r="B50" s="69" t="str">
        <f>Source!G54</f>
        <v>Погрузка: Мусор   строительный   с   погрузкой   экскаваторами емкостью ковша до 0,5мЗ</v>
      </c>
      <c r="C50" s="70" t="str">
        <f>Source!H54</f>
        <v>т</v>
      </c>
      <c r="D50" s="71">
        <f>Source!I54</f>
        <v>26.4</v>
      </c>
      <c r="E50" s="68"/>
    </row>
    <row r="51" spans="1:5" ht="42.75">
      <c r="A51" s="64" t="str">
        <f>Source!E55</f>
        <v>32</v>
      </c>
      <c r="B51" s="65" t="str">
        <f>Source!G55</f>
        <v>Перевозка грузов автомобилями-самосвалами грузоподъёмностью 10 т. работающих вне карьера: расстояние перевозки 21 км. нормативное время пробега 1,518 час; класс груза 1</v>
      </c>
      <c r="C51" s="66" t="str">
        <f>Source!H55</f>
        <v>т</v>
      </c>
      <c r="D51" s="67">
        <f>Source!I55</f>
        <v>26.4</v>
      </c>
      <c r="E51" s="64"/>
    </row>
    <row r="54" spans="1:5" ht="15">
      <c r="A54" s="72" t="s">
        <v>797</v>
      </c>
      <c r="B54" s="72"/>
      <c r="C54" s="72" t="s">
        <v>798</v>
      </c>
      <c r="D54" s="72"/>
      <c r="E54" s="72"/>
    </row>
  </sheetData>
  <sheetProtection/>
  <mergeCells count="7">
    <mergeCell ref="A19:E19"/>
    <mergeCell ref="C2:D2"/>
    <mergeCell ref="C4:D4"/>
    <mergeCell ref="C6:D6"/>
    <mergeCell ref="B8:C8"/>
    <mergeCell ref="A11:D11"/>
    <mergeCell ref="A12:D12"/>
  </mergeCells>
  <printOptions/>
  <pageMargins left="0.4" right="0.2" top="0.2" bottom="0.4" header="0.2" footer="0.2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R143"/>
  <sheetViews>
    <sheetView zoomScalePageLayoutView="0" workbookViewId="0" topLeftCell="A1">
      <selection activeCell="A139" sqref="A139:O139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139</v>
      </c>
      <c r="C12" s="1">
        <v>0</v>
      </c>
      <c r="D12" s="1">
        <f>ROW(A89)</f>
        <v>89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118" ht="12.75">
      <c r="A18" s="2">
        <v>52</v>
      </c>
      <c r="B18" s="2">
        <f aca="true" t="shared" si="0" ref="B18:G18">B89</f>
        <v>139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изоляция</v>
      </c>
      <c r="H18" s="2"/>
      <c r="I18" s="2"/>
      <c r="J18" s="2"/>
      <c r="K18" s="2"/>
      <c r="L18" s="2"/>
      <c r="M18" s="2"/>
      <c r="N18" s="2"/>
      <c r="O18" s="2">
        <f aca="true" t="shared" si="1" ref="O18:AT18">O89</f>
        <v>879306</v>
      </c>
      <c r="P18" s="2">
        <f t="shared" si="1"/>
        <v>439641</v>
      </c>
      <c r="Q18" s="2">
        <f t="shared" si="1"/>
        <v>176857</v>
      </c>
      <c r="R18" s="2">
        <f t="shared" si="1"/>
        <v>0</v>
      </c>
      <c r="S18" s="2">
        <f t="shared" si="1"/>
        <v>262808</v>
      </c>
      <c r="T18" s="2">
        <f t="shared" si="1"/>
        <v>0</v>
      </c>
      <c r="U18" s="2">
        <f t="shared" si="1"/>
        <v>1905.1023310000003</v>
      </c>
      <c r="V18" s="2">
        <f t="shared" si="1"/>
        <v>259.42352199999993</v>
      </c>
      <c r="W18" s="2">
        <f t="shared" si="1"/>
        <v>0</v>
      </c>
      <c r="X18" s="2">
        <f t="shared" si="1"/>
        <v>205472</v>
      </c>
      <c r="Y18" s="2">
        <f t="shared" si="1"/>
        <v>124357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1209135</v>
      </c>
      <c r="AS18" s="2">
        <f t="shared" si="1"/>
        <v>1209135</v>
      </c>
      <c r="AT18" s="2">
        <f t="shared" si="1"/>
        <v>0</v>
      </c>
      <c r="AU18" s="2">
        <f aca="true" t="shared" si="2" ref="AU18:BZ18">AU89</f>
        <v>0</v>
      </c>
      <c r="AV18" s="2">
        <f t="shared" si="2"/>
        <v>439641</v>
      </c>
      <c r="AW18" s="2">
        <f t="shared" si="2"/>
        <v>439641</v>
      </c>
      <c r="AX18" s="2">
        <f t="shared" si="2"/>
        <v>0</v>
      </c>
      <c r="AY18" s="2">
        <f t="shared" si="2"/>
        <v>439641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aca="true" t="shared" si="3" ref="CA18:DF18">CA89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3">
        <f aca="true" t="shared" si="4" ref="DG18:DN18">DG89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</row>
    <row r="20" spans="1:88" ht="12.75">
      <c r="A20" s="1">
        <v>3</v>
      </c>
      <c r="B20" s="1">
        <v>1</v>
      </c>
      <c r="C20" s="1"/>
      <c r="D20" s="1">
        <f>ROW(A57)</f>
        <v>57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/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118" ht="12.75">
      <c r="A22" s="2">
        <v>52</v>
      </c>
      <c r="B22" s="2">
        <f aca="true" t="shared" si="5" ref="B22:G22">B57</f>
        <v>1</v>
      </c>
      <c r="C22" s="2">
        <f t="shared" si="5"/>
        <v>3</v>
      </c>
      <c r="D22" s="2">
        <f t="shared" si="5"/>
        <v>20</v>
      </c>
      <c r="E22" s="2">
        <f t="shared" si="5"/>
        <v>0</v>
      </c>
      <c r="F22" s="2" t="str">
        <f t="shared" si="5"/>
        <v>Участок изоляции+тамбур</v>
      </c>
      <c r="G22" s="2" t="str">
        <f t="shared" si="5"/>
        <v>Участок изоляции+тамбур</v>
      </c>
      <c r="H22" s="2"/>
      <c r="I22" s="2"/>
      <c r="J22" s="2"/>
      <c r="K22" s="2"/>
      <c r="L22" s="2"/>
      <c r="M22" s="2"/>
      <c r="N22" s="2"/>
      <c r="O22" s="2">
        <f aca="true" t="shared" si="6" ref="O22:AT22">O57</f>
        <v>879306</v>
      </c>
      <c r="P22" s="2">
        <f t="shared" si="6"/>
        <v>439641</v>
      </c>
      <c r="Q22" s="2">
        <f t="shared" si="6"/>
        <v>176857</v>
      </c>
      <c r="R22" s="2">
        <f t="shared" si="6"/>
        <v>0</v>
      </c>
      <c r="S22" s="2">
        <f t="shared" si="6"/>
        <v>262808</v>
      </c>
      <c r="T22" s="2">
        <f t="shared" si="6"/>
        <v>0</v>
      </c>
      <c r="U22" s="2">
        <f t="shared" si="6"/>
        <v>1905.1023310000003</v>
      </c>
      <c r="V22" s="2">
        <f t="shared" si="6"/>
        <v>259.42352199999993</v>
      </c>
      <c r="W22" s="2">
        <f t="shared" si="6"/>
        <v>0</v>
      </c>
      <c r="X22" s="2">
        <f t="shared" si="6"/>
        <v>205472</v>
      </c>
      <c r="Y22" s="2">
        <f t="shared" si="6"/>
        <v>124357</v>
      </c>
      <c r="Z22" s="2">
        <f t="shared" si="6"/>
        <v>0</v>
      </c>
      <c r="AA22" s="2">
        <f t="shared" si="6"/>
        <v>0</v>
      </c>
      <c r="AB22" s="2">
        <f t="shared" si="6"/>
        <v>879306</v>
      </c>
      <c r="AC22" s="2">
        <f t="shared" si="6"/>
        <v>439641</v>
      </c>
      <c r="AD22" s="2">
        <f t="shared" si="6"/>
        <v>176857</v>
      </c>
      <c r="AE22" s="2">
        <f t="shared" si="6"/>
        <v>0</v>
      </c>
      <c r="AF22" s="2">
        <f t="shared" si="6"/>
        <v>262808</v>
      </c>
      <c r="AG22" s="2">
        <f t="shared" si="6"/>
        <v>0</v>
      </c>
      <c r="AH22" s="2">
        <f t="shared" si="6"/>
        <v>1905.1023310000003</v>
      </c>
      <c r="AI22" s="2">
        <f t="shared" si="6"/>
        <v>259.42352199999993</v>
      </c>
      <c r="AJ22" s="2">
        <f t="shared" si="6"/>
        <v>0</v>
      </c>
      <c r="AK22" s="2">
        <f t="shared" si="6"/>
        <v>205472</v>
      </c>
      <c r="AL22" s="2">
        <f t="shared" si="6"/>
        <v>124357</v>
      </c>
      <c r="AM22" s="2">
        <f t="shared" si="6"/>
        <v>0</v>
      </c>
      <c r="AN22" s="2">
        <f t="shared" si="6"/>
        <v>0</v>
      </c>
      <c r="AO22" s="2">
        <f t="shared" si="6"/>
        <v>0</v>
      </c>
      <c r="AP22" s="2">
        <f t="shared" si="6"/>
        <v>0</v>
      </c>
      <c r="AQ22" s="2">
        <f t="shared" si="6"/>
        <v>0</v>
      </c>
      <c r="AR22" s="2">
        <f t="shared" si="6"/>
        <v>1209135</v>
      </c>
      <c r="AS22" s="2">
        <f t="shared" si="6"/>
        <v>1209135</v>
      </c>
      <c r="AT22" s="2">
        <f t="shared" si="6"/>
        <v>0</v>
      </c>
      <c r="AU22" s="2">
        <f aca="true" t="shared" si="7" ref="AU22:BZ22">AU57</f>
        <v>0</v>
      </c>
      <c r="AV22" s="2">
        <f t="shared" si="7"/>
        <v>439641</v>
      </c>
      <c r="AW22" s="2">
        <f t="shared" si="7"/>
        <v>439641</v>
      </c>
      <c r="AX22" s="2">
        <f t="shared" si="7"/>
        <v>0</v>
      </c>
      <c r="AY22" s="2">
        <f t="shared" si="7"/>
        <v>439641</v>
      </c>
      <c r="AZ22" s="2">
        <f t="shared" si="7"/>
        <v>0</v>
      </c>
      <c r="BA22" s="2">
        <f t="shared" si="7"/>
        <v>0</v>
      </c>
      <c r="BB22" s="2">
        <f t="shared" si="7"/>
        <v>0</v>
      </c>
      <c r="BC22" s="2">
        <f t="shared" si="7"/>
        <v>0</v>
      </c>
      <c r="BD22" s="2">
        <f t="shared" si="7"/>
        <v>0</v>
      </c>
      <c r="BE22" s="2">
        <f t="shared" si="7"/>
        <v>1209135</v>
      </c>
      <c r="BF22" s="2">
        <f t="shared" si="7"/>
        <v>1209135</v>
      </c>
      <c r="BG22" s="2">
        <f t="shared" si="7"/>
        <v>0</v>
      </c>
      <c r="BH22" s="2">
        <f t="shared" si="7"/>
        <v>0</v>
      </c>
      <c r="BI22" s="2">
        <f t="shared" si="7"/>
        <v>439641</v>
      </c>
      <c r="BJ22" s="2">
        <f t="shared" si="7"/>
        <v>439641</v>
      </c>
      <c r="BK22" s="2">
        <f t="shared" si="7"/>
        <v>0</v>
      </c>
      <c r="BL22" s="2">
        <f t="shared" si="7"/>
        <v>439641</v>
      </c>
      <c r="BM22" s="2">
        <f t="shared" si="7"/>
        <v>0</v>
      </c>
      <c r="BN22" s="2">
        <f t="shared" si="7"/>
        <v>0</v>
      </c>
      <c r="BO22" s="3">
        <f t="shared" si="7"/>
        <v>0</v>
      </c>
      <c r="BP22" s="3">
        <f t="shared" si="7"/>
        <v>0</v>
      </c>
      <c r="BQ22" s="3">
        <f t="shared" si="7"/>
        <v>0</v>
      </c>
      <c r="BR22" s="3">
        <f t="shared" si="7"/>
        <v>0</v>
      </c>
      <c r="BS22" s="3">
        <f t="shared" si="7"/>
        <v>0</v>
      </c>
      <c r="BT22" s="3">
        <f t="shared" si="7"/>
        <v>0</v>
      </c>
      <c r="BU22" s="3">
        <f t="shared" si="7"/>
        <v>0</v>
      </c>
      <c r="BV22" s="3">
        <f t="shared" si="7"/>
        <v>0</v>
      </c>
      <c r="BW22" s="3">
        <f t="shared" si="7"/>
        <v>0</v>
      </c>
      <c r="BX22" s="3">
        <f t="shared" si="7"/>
        <v>0</v>
      </c>
      <c r="BY22" s="3">
        <f t="shared" si="7"/>
        <v>0</v>
      </c>
      <c r="BZ22" s="3">
        <f t="shared" si="7"/>
        <v>0</v>
      </c>
      <c r="CA22" s="3">
        <f aca="true" t="shared" si="8" ref="CA22:DF22">CA57</f>
        <v>0</v>
      </c>
      <c r="CB22" s="3">
        <f t="shared" si="8"/>
        <v>0</v>
      </c>
      <c r="CC22" s="3">
        <f t="shared" si="8"/>
        <v>0</v>
      </c>
      <c r="CD22" s="3">
        <f t="shared" si="8"/>
        <v>0</v>
      </c>
      <c r="CE22" s="3">
        <f t="shared" si="8"/>
        <v>0</v>
      </c>
      <c r="CF22" s="3">
        <f t="shared" si="8"/>
        <v>0</v>
      </c>
      <c r="CG22" s="3">
        <f t="shared" si="8"/>
        <v>0</v>
      </c>
      <c r="CH22" s="3">
        <f t="shared" si="8"/>
        <v>0</v>
      </c>
      <c r="CI22" s="3">
        <f t="shared" si="8"/>
        <v>0</v>
      </c>
      <c r="CJ22" s="3">
        <f t="shared" si="8"/>
        <v>0</v>
      </c>
      <c r="CK22" s="3">
        <f t="shared" si="8"/>
        <v>0</v>
      </c>
      <c r="CL22" s="3">
        <f t="shared" si="8"/>
        <v>0</v>
      </c>
      <c r="CM22" s="3">
        <f t="shared" si="8"/>
        <v>0</v>
      </c>
      <c r="CN22" s="3">
        <f t="shared" si="8"/>
        <v>0</v>
      </c>
      <c r="CO22" s="3">
        <f t="shared" si="8"/>
        <v>0</v>
      </c>
      <c r="CP22" s="3">
        <f t="shared" si="8"/>
        <v>0</v>
      </c>
      <c r="CQ22" s="3">
        <f t="shared" si="8"/>
        <v>0</v>
      </c>
      <c r="CR22" s="3">
        <f t="shared" si="8"/>
        <v>0</v>
      </c>
      <c r="CS22" s="3">
        <f t="shared" si="8"/>
        <v>0</v>
      </c>
      <c r="CT22" s="3">
        <f t="shared" si="8"/>
        <v>0</v>
      </c>
      <c r="CU22" s="3">
        <f t="shared" si="8"/>
        <v>0</v>
      </c>
      <c r="CV22" s="3">
        <f t="shared" si="8"/>
        <v>0</v>
      </c>
      <c r="CW22" s="3">
        <f t="shared" si="8"/>
        <v>0</v>
      </c>
      <c r="CX22" s="3">
        <f t="shared" si="8"/>
        <v>0</v>
      </c>
      <c r="CY22" s="3">
        <f t="shared" si="8"/>
        <v>0</v>
      </c>
      <c r="CZ22" s="3">
        <f t="shared" si="8"/>
        <v>0</v>
      </c>
      <c r="DA22" s="3">
        <f t="shared" si="8"/>
        <v>0</v>
      </c>
      <c r="DB22" s="3">
        <f t="shared" si="8"/>
        <v>0</v>
      </c>
      <c r="DC22" s="3">
        <f t="shared" si="8"/>
        <v>0</v>
      </c>
      <c r="DD22" s="3">
        <f t="shared" si="8"/>
        <v>0</v>
      </c>
      <c r="DE22" s="3">
        <f t="shared" si="8"/>
        <v>0</v>
      </c>
      <c r="DF22" s="3">
        <f t="shared" si="8"/>
        <v>0</v>
      </c>
      <c r="DG22" s="3">
        <f aca="true" t="shared" si="9" ref="DG22:DN22">DG57</f>
        <v>0</v>
      </c>
      <c r="DH22" s="3">
        <f t="shared" si="9"/>
        <v>0</v>
      </c>
      <c r="DI22" s="3">
        <f t="shared" si="9"/>
        <v>0</v>
      </c>
      <c r="DJ22" s="3">
        <f t="shared" si="9"/>
        <v>0</v>
      </c>
      <c r="DK22" s="3">
        <f t="shared" si="9"/>
        <v>0</v>
      </c>
      <c r="DL22" s="3">
        <f t="shared" si="9"/>
        <v>0</v>
      </c>
      <c r="DM22" s="3">
        <f t="shared" si="9"/>
        <v>0</v>
      </c>
      <c r="DN22" s="3">
        <f t="shared" si="9"/>
        <v>0</v>
      </c>
    </row>
    <row r="24" spans="1:200" ht="12.75">
      <c r="A24">
        <v>17</v>
      </c>
      <c r="B24">
        <v>1</v>
      </c>
      <c r="C24">
        <f>ROW(SmtRes!A11)</f>
        <v>11</v>
      </c>
      <c r="D24">
        <f>ROW(EtalonRes!A20)</f>
        <v>20</v>
      </c>
      <c r="E24" t="s">
        <v>12</v>
      </c>
      <c r="F24" t="s">
        <v>13</v>
      </c>
      <c r="G24" t="s">
        <v>14</v>
      </c>
      <c r="H24" t="s">
        <v>15</v>
      </c>
      <c r="I24">
        <v>0.388</v>
      </c>
      <c r="J24">
        <v>0</v>
      </c>
      <c r="O24">
        <f aca="true" t="shared" si="10" ref="O24:O55">ROUND(CP24,0)</f>
        <v>42121</v>
      </c>
      <c r="P24">
        <f aca="true" t="shared" si="11" ref="P24:P55">ROUND(CQ24*I24,0)</f>
        <v>35818</v>
      </c>
      <c r="Q24">
        <f aca="true" t="shared" si="12" ref="Q24:Q55">ROUND(CR24*I24,0)</f>
        <v>36</v>
      </c>
      <c r="R24">
        <f aca="true" t="shared" si="13" ref="R24:R55">ROUND(CS24*I24,0)</f>
        <v>0</v>
      </c>
      <c r="S24">
        <f aca="true" t="shared" si="14" ref="S24:S55">ROUND(CT24*I24,0)</f>
        <v>6267</v>
      </c>
      <c r="T24">
        <f aca="true" t="shared" si="15" ref="T24:T55">ROUND(CU24*I24,0)</f>
        <v>0</v>
      </c>
      <c r="U24">
        <f aca="true" t="shared" si="16" ref="U24:U55">CV24*I24</f>
        <v>46.851</v>
      </c>
      <c r="V24">
        <f aca="true" t="shared" si="17" ref="V24:V55">CW24*I24</f>
        <v>0</v>
      </c>
      <c r="W24">
        <f aca="true" t="shared" si="18" ref="W24:W55">ROUND(CX24*I24,0)</f>
        <v>0</v>
      </c>
      <c r="X24">
        <f aca="true" t="shared" si="19" ref="X24:X55">ROUND(CY24,0)</f>
        <v>5657</v>
      </c>
      <c r="Y24">
        <f aca="true" t="shared" si="20" ref="Y24:Y55">ROUND(CZ24,0)</f>
        <v>2685</v>
      </c>
      <c r="AA24">
        <v>26994759</v>
      </c>
      <c r="AB24">
        <f aca="true" t="shared" si="21" ref="AB24:AB55">ROUND((AC24+AD24+AF24),2)</f>
        <v>108559.7</v>
      </c>
      <c r="AC24">
        <f>ROUND((SUM(SmtRes!BQ1:SmtRes!BQ11)),2)</f>
        <v>92314.59</v>
      </c>
      <c r="AD24">
        <f>ROUND((SUM(SmtRes!BR1:SmtRes!BR11)),2)</f>
        <v>92.38</v>
      </c>
      <c r="AE24">
        <f aca="true" t="shared" si="22" ref="AE24:AE55">ROUND((0),2)</f>
        <v>0</v>
      </c>
      <c r="AF24">
        <f>ROUND((SUM(SmtRes!BT1:SmtRes!BT11)),2)</f>
        <v>16152.73</v>
      </c>
      <c r="AG24">
        <f aca="true" t="shared" si="23" ref="AG24:AG55">ROUND((AP24),2)</f>
        <v>0</v>
      </c>
      <c r="AH24">
        <f>(SUM(SmtRes!BU1:SmtRes!BU11))</f>
        <v>120.74999999999999</v>
      </c>
      <c r="AI24">
        <f>(0)</f>
        <v>0</v>
      </c>
      <c r="AJ24">
        <f aca="true" t="shared" si="24" ref="AJ24:AJ55">ROUND((AS24),2)</f>
        <v>0</v>
      </c>
      <c r="AK24">
        <v>106434.3445</v>
      </c>
      <c r="AL24">
        <v>92314.59</v>
      </c>
      <c r="AM24">
        <v>73.9045</v>
      </c>
      <c r="AN24">
        <v>0</v>
      </c>
      <c r="AO24">
        <v>14045.85</v>
      </c>
      <c r="AP24">
        <v>0</v>
      </c>
      <c r="AQ24">
        <v>105</v>
      </c>
      <c r="AR24">
        <v>0</v>
      </c>
      <c r="AS24">
        <v>0</v>
      </c>
      <c r="AT24">
        <v>90.27</v>
      </c>
      <c r="AU24">
        <v>42.84</v>
      </c>
      <c r="AV24">
        <v>1</v>
      </c>
      <c r="AW24">
        <v>1</v>
      </c>
      <c r="AZ24">
        <v>1</v>
      </c>
      <c r="BA24">
        <v>1</v>
      </c>
      <c r="BB24">
        <v>1</v>
      </c>
      <c r="BC24">
        <v>1</v>
      </c>
      <c r="BH24">
        <v>0</v>
      </c>
      <c r="BI24">
        <v>1</v>
      </c>
      <c r="BJ24" t="s">
        <v>16</v>
      </c>
      <c r="BM24">
        <v>10001</v>
      </c>
      <c r="BN24">
        <v>0</v>
      </c>
      <c r="BP24">
        <v>0</v>
      </c>
      <c r="BQ24">
        <v>2</v>
      </c>
      <c r="BR24">
        <v>0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118</v>
      </c>
      <c r="CA24">
        <v>63</v>
      </c>
      <c r="CF24">
        <v>0</v>
      </c>
      <c r="CG24">
        <v>0</v>
      </c>
      <c r="CM24">
        <v>0</v>
      </c>
      <c r="CO24">
        <v>0</v>
      </c>
      <c r="CP24">
        <f aca="true" t="shared" si="25" ref="CP24:CP55">(P24+Q24+S24)</f>
        <v>42121</v>
      </c>
      <c r="CQ24">
        <f aca="true" t="shared" si="26" ref="CQ24:CQ55">AC24*BC24</f>
        <v>92314.59</v>
      </c>
      <c r="CR24">
        <f aca="true" t="shared" si="27" ref="CR24:CR55">AD24*BB24</f>
        <v>92.38</v>
      </c>
      <c r="CS24">
        <f aca="true" t="shared" si="28" ref="CS24:CS55">AE24*BS24</f>
        <v>0</v>
      </c>
      <c r="CT24">
        <f aca="true" t="shared" si="29" ref="CT24:CT55">AF24*BA24</f>
        <v>16152.73</v>
      </c>
      <c r="CU24">
        <f aca="true" t="shared" si="30" ref="CU24:CU55">AG24</f>
        <v>0</v>
      </c>
      <c r="CV24">
        <f aca="true" t="shared" si="31" ref="CV24:CV55">AH24</f>
        <v>120.74999999999999</v>
      </c>
      <c r="CW24">
        <f aca="true" t="shared" si="32" ref="CW24:CW55">AI24</f>
        <v>0</v>
      </c>
      <c r="CX24">
        <f aca="true" t="shared" si="33" ref="CX24:CX55">AJ24</f>
        <v>0</v>
      </c>
      <c r="CY24">
        <f aca="true" t="shared" si="34" ref="CY24:CY34">((S24+R24)*(ROUND((FX24*IF(0,(IF(0,0.94,0.85)*IF(0,0.85,1)),1)),IF(0,0,2))/100))</f>
        <v>5657.220899999999</v>
      </c>
      <c r="CZ24">
        <f aca="true" t="shared" si="35" ref="CZ24:CZ34">((S24+R24)*(ROUND((FY24*IF(0,0.8,1)),IF(0,0,2))/100))</f>
        <v>2684.7828000000004</v>
      </c>
      <c r="DE24" t="s">
        <v>17</v>
      </c>
      <c r="DF24" t="s">
        <v>17</v>
      </c>
      <c r="DG24" t="s">
        <v>18</v>
      </c>
      <c r="DI24" t="s">
        <v>18</v>
      </c>
      <c r="DJ24" t="s">
        <v>17</v>
      </c>
      <c r="DL24" t="s">
        <v>19</v>
      </c>
      <c r="DM24" t="s">
        <v>20</v>
      </c>
      <c r="DN24">
        <v>0</v>
      </c>
      <c r="DO24">
        <v>0</v>
      </c>
      <c r="DP24">
        <v>1</v>
      </c>
      <c r="DQ24">
        <v>1</v>
      </c>
      <c r="DU24">
        <v>1005</v>
      </c>
      <c r="DV24" t="s">
        <v>15</v>
      </c>
      <c r="DW24" t="s">
        <v>15</v>
      </c>
      <c r="DX24">
        <v>100</v>
      </c>
      <c r="EE24">
        <v>25701053</v>
      </c>
      <c r="EF24">
        <v>2</v>
      </c>
      <c r="EG24" t="s">
        <v>21</v>
      </c>
      <c r="EH24">
        <v>0</v>
      </c>
      <c r="EJ24">
        <v>1</v>
      </c>
      <c r="EK24">
        <v>10001</v>
      </c>
      <c r="EL24" t="s">
        <v>22</v>
      </c>
      <c r="EM24" t="s">
        <v>23</v>
      </c>
      <c r="EQ24">
        <v>0</v>
      </c>
      <c r="ER24">
        <v>7062.43</v>
      </c>
      <c r="ES24">
        <v>6090.28</v>
      </c>
      <c r="ET24">
        <v>19.8</v>
      </c>
      <c r="EU24">
        <v>0</v>
      </c>
      <c r="EV24">
        <v>952.35</v>
      </c>
      <c r="EW24">
        <v>105</v>
      </c>
      <c r="EX24">
        <v>0</v>
      </c>
      <c r="EY24">
        <v>0</v>
      </c>
      <c r="FQ24">
        <v>0</v>
      </c>
      <c r="FR24">
        <f aca="true" t="shared" si="36" ref="FR24:FR55">ROUND(IF(AND(BH24=3,BI24=3),P24,0),0)</f>
        <v>0</v>
      </c>
      <c r="FS24">
        <v>0</v>
      </c>
      <c r="FT24" t="s">
        <v>24</v>
      </c>
      <c r="FU24" t="s">
        <v>25</v>
      </c>
      <c r="FX24">
        <v>90.27</v>
      </c>
      <c r="FY24">
        <v>42.84</v>
      </c>
      <c r="GF24">
        <v>-838718880</v>
      </c>
      <c r="GG24">
        <v>2</v>
      </c>
      <c r="GH24">
        <v>1</v>
      </c>
      <c r="GI24">
        <v>-2</v>
      </c>
      <c r="GJ24">
        <v>0</v>
      </c>
      <c r="GK24">
        <f>ROUND(R24*(R12)/100,0)</f>
        <v>0</v>
      </c>
      <c r="GL24">
        <f aca="true" t="shared" si="37" ref="GL24:GL55">ROUND(IF(AND(BH24=3,BI24=3,FS24&lt;&gt;0),P24,0),0)</f>
        <v>0</v>
      </c>
      <c r="GM24">
        <f aca="true" t="shared" si="38" ref="GM24:GM55">O24+X24+Y24</f>
        <v>50463</v>
      </c>
      <c r="GN24">
        <f aca="true" t="shared" si="39" ref="GN24:GN55">ROUND(IF(OR(BI24=0,BI24=1),O24+X24+Y24,0),0)</f>
        <v>50463</v>
      </c>
      <c r="GO24">
        <f aca="true" t="shared" si="40" ref="GO24:GO55">ROUND(IF(BI24=2,O24+X24+Y24,0),0)</f>
        <v>0</v>
      </c>
      <c r="GP24">
        <f aca="true" t="shared" si="41" ref="GP24:GP55">ROUND(IF(BI24=4,O24+X24+Y24,0),0)</f>
        <v>0</v>
      </c>
      <c r="GR24">
        <v>0</v>
      </c>
    </row>
    <row r="25" spans="1:200" ht="12.75">
      <c r="A25">
        <v>17</v>
      </c>
      <c r="B25">
        <v>1</v>
      </c>
      <c r="C25">
        <f>ROW(SmtRes!A16)</f>
        <v>16</v>
      </c>
      <c r="D25">
        <f>ROW(EtalonRes!A26)</f>
        <v>26</v>
      </c>
      <c r="E25" t="s">
        <v>26</v>
      </c>
      <c r="F25" t="s">
        <v>27</v>
      </c>
      <c r="G25" t="s">
        <v>28</v>
      </c>
      <c r="H25" t="s">
        <v>29</v>
      </c>
      <c r="I25">
        <v>0.388</v>
      </c>
      <c r="J25">
        <v>0</v>
      </c>
      <c r="O25">
        <f t="shared" si="10"/>
        <v>10410</v>
      </c>
      <c r="P25">
        <f t="shared" si="11"/>
        <v>6597</v>
      </c>
      <c r="Q25">
        <f t="shared" si="12"/>
        <v>1</v>
      </c>
      <c r="R25">
        <f t="shared" si="13"/>
        <v>0</v>
      </c>
      <c r="S25">
        <f t="shared" si="14"/>
        <v>3812</v>
      </c>
      <c r="T25">
        <f t="shared" si="15"/>
        <v>0</v>
      </c>
      <c r="U25">
        <f t="shared" si="16"/>
        <v>29.940019999999997</v>
      </c>
      <c r="V25">
        <f t="shared" si="17"/>
        <v>0.2619</v>
      </c>
      <c r="W25">
        <f t="shared" si="18"/>
        <v>0</v>
      </c>
      <c r="X25">
        <f t="shared" si="19"/>
        <v>3441</v>
      </c>
      <c r="Y25">
        <f t="shared" si="20"/>
        <v>1633</v>
      </c>
      <c r="AA25">
        <v>26994759</v>
      </c>
      <c r="AB25">
        <f t="shared" si="21"/>
        <v>26830.13</v>
      </c>
      <c r="AC25">
        <f>ROUND((SUM(SmtRes!BQ12:SmtRes!BQ16)),2)</f>
        <v>17002.8</v>
      </c>
      <c r="AD25">
        <f>ROUND((SUM(SmtRes!BR12:SmtRes!BR16)),2)</f>
        <v>3.45</v>
      </c>
      <c r="AE25">
        <f t="shared" si="22"/>
        <v>0</v>
      </c>
      <c r="AF25">
        <f>ROUND((SUM(SmtRes!BT12:SmtRes!BT16)),2)</f>
        <v>9823.88</v>
      </c>
      <c r="AG25">
        <f t="shared" si="23"/>
        <v>0</v>
      </c>
      <c r="AH25">
        <f>(SUM(SmtRes!BU12:SmtRes!BU16))</f>
        <v>77.16499999999999</v>
      </c>
      <c r="AI25">
        <f>(SUM(SmtRes!BV12:SmtRes!BV16))</f>
        <v>0.675</v>
      </c>
      <c r="AJ25">
        <f t="shared" si="24"/>
        <v>0</v>
      </c>
      <c r="AK25">
        <v>25548.0614</v>
      </c>
      <c r="AL25">
        <v>17002.8</v>
      </c>
      <c r="AM25">
        <v>2.7604</v>
      </c>
      <c r="AN25">
        <v>0</v>
      </c>
      <c r="AO25">
        <v>8542.501</v>
      </c>
      <c r="AP25">
        <v>0</v>
      </c>
      <c r="AQ25">
        <v>67.1</v>
      </c>
      <c r="AR25">
        <v>0.54</v>
      </c>
      <c r="AS25">
        <v>0</v>
      </c>
      <c r="AT25">
        <v>90.27</v>
      </c>
      <c r="AU25">
        <v>42.84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30</v>
      </c>
      <c r="BM25">
        <v>16</v>
      </c>
      <c r="BN25">
        <v>0</v>
      </c>
      <c r="BP25">
        <v>0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118</v>
      </c>
      <c r="CA25">
        <v>63</v>
      </c>
      <c r="CF25">
        <v>0</v>
      </c>
      <c r="CG25">
        <v>0</v>
      </c>
      <c r="CM25">
        <v>0</v>
      </c>
      <c r="CO25">
        <v>0</v>
      </c>
      <c r="CP25">
        <f t="shared" si="25"/>
        <v>10410</v>
      </c>
      <c r="CQ25">
        <f t="shared" si="26"/>
        <v>17002.8</v>
      </c>
      <c r="CR25">
        <f t="shared" si="27"/>
        <v>3.45</v>
      </c>
      <c r="CS25">
        <f t="shared" si="28"/>
        <v>0</v>
      </c>
      <c r="CT25">
        <f t="shared" si="29"/>
        <v>9823.88</v>
      </c>
      <c r="CU25">
        <f t="shared" si="30"/>
        <v>0</v>
      </c>
      <c r="CV25">
        <f t="shared" si="31"/>
        <v>77.16499999999999</v>
      </c>
      <c r="CW25">
        <f t="shared" si="32"/>
        <v>0.675</v>
      </c>
      <c r="CX25">
        <f t="shared" si="33"/>
        <v>0</v>
      </c>
      <c r="CY25">
        <f t="shared" si="34"/>
        <v>3441.0924</v>
      </c>
      <c r="CZ25">
        <f t="shared" si="35"/>
        <v>1633.0608000000002</v>
      </c>
      <c r="DE25" t="s">
        <v>17</v>
      </c>
      <c r="DF25" t="s">
        <v>17</v>
      </c>
      <c r="DG25" t="s">
        <v>18</v>
      </c>
      <c r="DI25" t="s">
        <v>18</v>
      </c>
      <c r="DJ25" t="s">
        <v>17</v>
      </c>
      <c r="DL25" t="s">
        <v>19</v>
      </c>
      <c r="DM25" t="s">
        <v>20</v>
      </c>
      <c r="DN25">
        <v>0</v>
      </c>
      <c r="DO25">
        <v>0</v>
      </c>
      <c r="DP25">
        <v>1</v>
      </c>
      <c r="DQ25">
        <v>1</v>
      </c>
      <c r="DU25">
        <v>1005</v>
      </c>
      <c r="DV25" t="s">
        <v>29</v>
      </c>
      <c r="DW25" t="s">
        <v>31</v>
      </c>
      <c r="DX25">
        <v>100</v>
      </c>
      <c r="EE25">
        <v>25700918</v>
      </c>
      <c r="EF25">
        <v>2</v>
      </c>
      <c r="EG25" t="s">
        <v>21</v>
      </c>
      <c r="EH25">
        <v>0</v>
      </c>
      <c r="EJ25">
        <v>1</v>
      </c>
      <c r="EK25">
        <v>16</v>
      </c>
      <c r="EL25" t="s">
        <v>22</v>
      </c>
      <c r="EM25" t="s">
        <v>23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67.1</v>
      </c>
      <c r="EX25">
        <v>0.54</v>
      </c>
      <c r="EY25">
        <v>0</v>
      </c>
      <c r="FQ25">
        <v>0</v>
      </c>
      <c r="FR25">
        <f t="shared" si="36"/>
        <v>0</v>
      </c>
      <c r="FS25">
        <v>0</v>
      </c>
      <c r="FT25" t="s">
        <v>24</v>
      </c>
      <c r="FU25" t="s">
        <v>25</v>
      </c>
      <c r="FX25">
        <v>90.27</v>
      </c>
      <c r="FY25">
        <v>42.84</v>
      </c>
      <c r="GF25">
        <v>-1596580405</v>
      </c>
      <c r="GG25">
        <v>2</v>
      </c>
      <c r="GH25">
        <v>0</v>
      </c>
      <c r="GI25">
        <v>-2</v>
      </c>
      <c r="GJ25">
        <v>0</v>
      </c>
      <c r="GK25">
        <f>ROUND(R25*(R12)/100,0)</f>
        <v>0</v>
      </c>
      <c r="GL25">
        <f t="shared" si="37"/>
        <v>0</v>
      </c>
      <c r="GM25">
        <f t="shared" si="38"/>
        <v>15484</v>
      </c>
      <c r="GN25">
        <f t="shared" si="39"/>
        <v>15484</v>
      </c>
      <c r="GO25">
        <f t="shared" si="40"/>
        <v>0</v>
      </c>
      <c r="GP25">
        <f t="shared" si="41"/>
        <v>0</v>
      </c>
      <c r="GR25">
        <v>0</v>
      </c>
    </row>
    <row r="26" spans="1:200" ht="12.75">
      <c r="A26">
        <v>17</v>
      </c>
      <c r="B26">
        <v>1</v>
      </c>
      <c r="C26">
        <f>ROW(SmtRes!A20)</f>
        <v>20</v>
      </c>
      <c r="D26">
        <f>ROW(EtalonRes!A30)</f>
        <v>30</v>
      </c>
      <c r="E26" t="s">
        <v>32</v>
      </c>
      <c r="F26" t="s">
        <v>33</v>
      </c>
      <c r="G26" t="s">
        <v>34</v>
      </c>
      <c r="H26" t="s">
        <v>35</v>
      </c>
      <c r="I26">
        <v>3.88</v>
      </c>
      <c r="J26">
        <v>0</v>
      </c>
      <c r="O26">
        <f t="shared" si="10"/>
        <v>24186</v>
      </c>
      <c r="P26">
        <f t="shared" si="11"/>
        <v>15620</v>
      </c>
      <c r="Q26">
        <f t="shared" si="12"/>
        <v>2101</v>
      </c>
      <c r="R26">
        <f t="shared" si="13"/>
        <v>0</v>
      </c>
      <c r="S26">
        <f t="shared" si="14"/>
        <v>6465</v>
      </c>
      <c r="T26">
        <f t="shared" si="15"/>
        <v>0</v>
      </c>
      <c r="U26">
        <f t="shared" si="16"/>
        <v>47.20796</v>
      </c>
      <c r="V26">
        <f t="shared" si="17"/>
        <v>0</v>
      </c>
      <c r="W26">
        <f t="shared" si="18"/>
        <v>0</v>
      </c>
      <c r="X26">
        <f t="shared" si="19"/>
        <v>4946</v>
      </c>
      <c r="Y26">
        <f t="shared" si="20"/>
        <v>3077</v>
      </c>
      <c r="AA26">
        <v>26994759</v>
      </c>
      <c r="AB26">
        <f t="shared" si="21"/>
        <v>6233.5</v>
      </c>
      <c r="AC26">
        <f>ROUND((SUM(SmtRes!BQ17:SmtRes!BQ20)),2)</f>
        <v>4025.69</v>
      </c>
      <c r="AD26">
        <f>ROUND((SUM(SmtRes!BR17:SmtRes!BR20)),2)</f>
        <v>541.54</v>
      </c>
      <c r="AE26">
        <f t="shared" si="22"/>
        <v>0</v>
      </c>
      <c r="AF26">
        <f>ROUND((SUM(SmtRes!BT17:SmtRes!BT20)),2)</f>
        <v>1666.27</v>
      </c>
      <c r="AG26">
        <f t="shared" si="23"/>
        <v>0</v>
      </c>
      <c r="AH26">
        <f>(SUM(SmtRes!BU17:SmtRes!BU20))</f>
        <v>12.167</v>
      </c>
      <c r="AI26">
        <f>(0)</f>
        <v>0</v>
      </c>
      <c r="AJ26">
        <f t="shared" si="24"/>
        <v>0</v>
      </c>
      <c r="AK26">
        <v>5907.846</v>
      </c>
      <c r="AL26">
        <v>4025.685</v>
      </c>
      <c r="AM26">
        <v>433.22999999999996</v>
      </c>
      <c r="AN26">
        <v>0</v>
      </c>
      <c r="AO26">
        <v>1448.9309999999998</v>
      </c>
      <c r="AP26">
        <v>0</v>
      </c>
      <c r="AQ26">
        <v>10.58</v>
      </c>
      <c r="AR26">
        <v>0</v>
      </c>
      <c r="AS26">
        <v>0</v>
      </c>
      <c r="AT26">
        <v>76.5</v>
      </c>
      <c r="AU26">
        <v>47.6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36</v>
      </c>
      <c r="BM26">
        <v>26001</v>
      </c>
      <c r="BN26">
        <v>0</v>
      </c>
      <c r="BP26">
        <v>0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100</v>
      </c>
      <c r="CA26">
        <v>70</v>
      </c>
      <c r="CF26">
        <v>0</v>
      </c>
      <c r="CG26">
        <v>0</v>
      </c>
      <c r="CM26">
        <v>0</v>
      </c>
      <c r="CO26">
        <v>0</v>
      </c>
      <c r="CP26">
        <f t="shared" si="25"/>
        <v>24186</v>
      </c>
      <c r="CQ26">
        <f t="shared" si="26"/>
        <v>4025.69</v>
      </c>
      <c r="CR26">
        <f t="shared" si="27"/>
        <v>541.54</v>
      </c>
      <c r="CS26">
        <f t="shared" si="28"/>
        <v>0</v>
      </c>
      <c r="CT26">
        <f t="shared" si="29"/>
        <v>1666.27</v>
      </c>
      <c r="CU26">
        <f t="shared" si="30"/>
        <v>0</v>
      </c>
      <c r="CV26">
        <f t="shared" si="31"/>
        <v>12.167</v>
      </c>
      <c r="CW26">
        <f t="shared" si="32"/>
        <v>0</v>
      </c>
      <c r="CX26">
        <f t="shared" si="33"/>
        <v>0</v>
      </c>
      <c r="CY26">
        <f t="shared" si="34"/>
        <v>4945.725</v>
      </c>
      <c r="CZ26">
        <f t="shared" si="35"/>
        <v>3077.34</v>
      </c>
      <c r="DE26" t="s">
        <v>17</v>
      </c>
      <c r="DF26" t="s">
        <v>17</v>
      </c>
      <c r="DG26" t="s">
        <v>18</v>
      </c>
      <c r="DI26" t="s">
        <v>18</v>
      </c>
      <c r="DJ26" t="s">
        <v>17</v>
      </c>
      <c r="DL26" t="s">
        <v>37</v>
      </c>
      <c r="DM26" t="s">
        <v>38</v>
      </c>
      <c r="DN26">
        <v>0</v>
      </c>
      <c r="DO26">
        <v>0</v>
      </c>
      <c r="DP26">
        <v>1</v>
      </c>
      <c r="DQ26">
        <v>1</v>
      </c>
      <c r="DU26">
        <v>1013</v>
      </c>
      <c r="DV26" t="s">
        <v>35</v>
      </c>
      <c r="DW26" t="s">
        <v>35</v>
      </c>
      <c r="DX26">
        <v>1</v>
      </c>
      <c r="EE26">
        <v>25701087</v>
      </c>
      <c r="EF26">
        <v>2</v>
      </c>
      <c r="EG26" t="s">
        <v>21</v>
      </c>
      <c r="EH26">
        <v>0</v>
      </c>
      <c r="EJ26">
        <v>1</v>
      </c>
      <c r="EK26">
        <v>26001</v>
      </c>
      <c r="EL26" t="s">
        <v>39</v>
      </c>
      <c r="EM26" t="s">
        <v>40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10.58</v>
      </c>
      <c r="EX26">
        <v>0</v>
      </c>
      <c r="EY26">
        <v>0</v>
      </c>
      <c r="FQ26">
        <v>0</v>
      </c>
      <c r="FR26">
        <f t="shared" si="36"/>
        <v>0</v>
      </c>
      <c r="FS26">
        <v>0</v>
      </c>
      <c r="FT26" t="s">
        <v>24</v>
      </c>
      <c r="FU26" t="s">
        <v>25</v>
      </c>
      <c r="FX26">
        <v>76.5</v>
      </c>
      <c r="FY26">
        <v>47.6</v>
      </c>
      <c r="GF26">
        <v>-720024138</v>
      </c>
      <c r="GG26">
        <v>2</v>
      </c>
      <c r="GH26">
        <v>1</v>
      </c>
      <c r="GI26">
        <v>-2</v>
      </c>
      <c r="GJ26">
        <v>0</v>
      </c>
      <c r="GK26">
        <f>ROUND(R26*(R12)/100,0)</f>
        <v>0</v>
      </c>
      <c r="GL26">
        <f t="shared" si="37"/>
        <v>0</v>
      </c>
      <c r="GM26">
        <f t="shared" si="38"/>
        <v>32209</v>
      </c>
      <c r="GN26">
        <f t="shared" si="39"/>
        <v>32209</v>
      </c>
      <c r="GO26">
        <f t="shared" si="40"/>
        <v>0</v>
      </c>
      <c r="GP26">
        <f t="shared" si="41"/>
        <v>0</v>
      </c>
      <c r="GR26">
        <v>0</v>
      </c>
    </row>
    <row r="27" spans="1:200" ht="12.75">
      <c r="A27">
        <v>17</v>
      </c>
      <c r="B27">
        <v>1</v>
      </c>
      <c r="C27">
        <f>ROW(SmtRes!A23)</f>
        <v>23</v>
      </c>
      <c r="D27">
        <f>ROW(EtalonRes!A34)</f>
        <v>34</v>
      </c>
      <c r="E27" t="s">
        <v>41</v>
      </c>
      <c r="F27" t="s">
        <v>42</v>
      </c>
      <c r="G27" t="s">
        <v>43</v>
      </c>
      <c r="H27" t="s">
        <v>44</v>
      </c>
      <c r="I27">
        <v>0.388</v>
      </c>
      <c r="J27">
        <v>0</v>
      </c>
      <c r="O27">
        <f t="shared" si="10"/>
        <v>4717</v>
      </c>
      <c r="P27">
        <f t="shared" si="11"/>
        <v>3065</v>
      </c>
      <c r="Q27">
        <f t="shared" si="12"/>
        <v>0</v>
      </c>
      <c r="R27">
        <f t="shared" si="13"/>
        <v>0</v>
      </c>
      <c r="S27">
        <f t="shared" si="14"/>
        <v>1652</v>
      </c>
      <c r="T27">
        <f t="shared" si="15"/>
        <v>0</v>
      </c>
      <c r="U27">
        <f t="shared" si="16"/>
        <v>12.814864</v>
      </c>
      <c r="V27">
        <f t="shared" si="17"/>
        <v>0</v>
      </c>
      <c r="W27">
        <f t="shared" si="18"/>
        <v>0</v>
      </c>
      <c r="X27">
        <f t="shared" si="19"/>
        <v>1264</v>
      </c>
      <c r="Y27">
        <f t="shared" si="20"/>
        <v>786</v>
      </c>
      <c r="AA27">
        <v>26994759</v>
      </c>
      <c r="AB27">
        <f t="shared" si="21"/>
        <v>12157.66</v>
      </c>
      <c r="AC27">
        <f>ROUND((SUM(SmtRes!BQ21:SmtRes!BQ23)),2)</f>
        <v>7900.35</v>
      </c>
      <c r="AD27">
        <f>ROUND((0),2)</f>
        <v>0</v>
      </c>
      <c r="AE27">
        <f t="shared" si="22"/>
        <v>0</v>
      </c>
      <c r="AF27">
        <f>ROUND((SUM(SmtRes!BT21:SmtRes!BT23)),2)</f>
        <v>4257.31</v>
      </c>
      <c r="AG27">
        <f t="shared" si="23"/>
        <v>0</v>
      </c>
      <c r="AH27">
        <f>(SUM(SmtRes!BU21:SmtRes!BU23))</f>
        <v>33.028</v>
      </c>
      <c r="AI27">
        <f>(0)</f>
        <v>0</v>
      </c>
      <c r="AJ27">
        <f t="shared" si="24"/>
        <v>0</v>
      </c>
      <c r="AK27">
        <v>5801.18</v>
      </c>
      <c r="AL27">
        <v>3950.1760000000004</v>
      </c>
      <c r="AM27">
        <v>0</v>
      </c>
      <c r="AN27">
        <v>0</v>
      </c>
      <c r="AO27">
        <v>1851.004</v>
      </c>
      <c r="AP27">
        <v>0</v>
      </c>
      <c r="AQ27">
        <v>14.36</v>
      </c>
      <c r="AR27">
        <v>0</v>
      </c>
      <c r="AS27">
        <v>0</v>
      </c>
      <c r="AT27">
        <v>76.5</v>
      </c>
      <c r="AU27">
        <v>47.6</v>
      </c>
      <c r="AV27">
        <v>1</v>
      </c>
      <c r="AW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45</v>
      </c>
      <c r="BM27">
        <v>26001</v>
      </c>
      <c r="BN27">
        <v>0</v>
      </c>
      <c r="BP27">
        <v>0</v>
      </c>
      <c r="BQ27">
        <v>2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100</v>
      </c>
      <c r="CA27">
        <v>70</v>
      </c>
      <c r="CF27">
        <v>0</v>
      </c>
      <c r="CG27">
        <v>0</v>
      </c>
      <c r="CM27">
        <v>0</v>
      </c>
      <c r="CO27">
        <v>0</v>
      </c>
      <c r="CP27">
        <f t="shared" si="25"/>
        <v>4717</v>
      </c>
      <c r="CQ27">
        <f t="shared" si="26"/>
        <v>7900.35</v>
      </c>
      <c r="CR27">
        <f t="shared" si="27"/>
        <v>0</v>
      </c>
      <c r="CS27">
        <f t="shared" si="28"/>
        <v>0</v>
      </c>
      <c r="CT27">
        <f t="shared" si="29"/>
        <v>4257.31</v>
      </c>
      <c r="CU27">
        <f t="shared" si="30"/>
        <v>0</v>
      </c>
      <c r="CV27">
        <f t="shared" si="31"/>
        <v>33.028</v>
      </c>
      <c r="CW27">
        <f t="shared" si="32"/>
        <v>0</v>
      </c>
      <c r="CX27">
        <f t="shared" si="33"/>
        <v>0</v>
      </c>
      <c r="CY27">
        <f t="shared" si="34"/>
        <v>1263.78</v>
      </c>
      <c r="CZ27">
        <f t="shared" si="35"/>
        <v>786.3520000000001</v>
      </c>
      <c r="DD27" t="s">
        <v>46</v>
      </c>
      <c r="DE27" t="s">
        <v>47</v>
      </c>
      <c r="DF27" t="s">
        <v>47</v>
      </c>
      <c r="DG27" t="s">
        <v>48</v>
      </c>
      <c r="DI27" t="s">
        <v>48</v>
      </c>
      <c r="DJ27" t="s">
        <v>47</v>
      </c>
      <c r="DL27" t="s">
        <v>37</v>
      </c>
      <c r="DM27" t="s">
        <v>38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44</v>
      </c>
      <c r="DW27" t="s">
        <v>44</v>
      </c>
      <c r="DX27">
        <v>1</v>
      </c>
      <c r="EE27">
        <v>25701087</v>
      </c>
      <c r="EF27">
        <v>2</v>
      </c>
      <c r="EG27" t="s">
        <v>21</v>
      </c>
      <c r="EH27">
        <v>0</v>
      </c>
      <c r="EJ27">
        <v>1</v>
      </c>
      <c r="EK27">
        <v>26001</v>
      </c>
      <c r="EL27" t="s">
        <v>39</v>
      </c>
      <c r="EM27" t="s">
        <v>40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14.36</v>
      </c>
      <c r="EX27">
        <v>0</v>
      </c>
      <c r="EY27">
        <v>0</v>
      </c>
      <c r="FQ27">
        <v>0</v>
      </c>
      <c r="FR27">
        <f t="shared" si="36"/>
        <v>0</v>
      </c>
      <c r="FS27">
        <v>0</v>
      </c>
      <c r="FT27" t="s">
        <v>24</v>
      </c>
      <c r="FU27" t="s">
        <v>25</v>
      </c>
      <c r="FX27">
        <v>76.5</v>
      </c>
      <c r="FY27">
        <v>47.6</v>
      </c>
      <c r="GF27">
        <v>-952684559</v>
      </c>
      <c r="GG27">
        <v>2</v>
      </c>
      <c r="GH27">
        <v>1</v>
      </c>
      <c r="GI27">
        <v>-2</v>
      </c>
      <c r="GJ27">
        <v>0</v>
      </c>
      <c r="GK27">
        <f>ROUND(R27*(R12)/100,0)</f>
        <v>0</v>
      </c>
      <c r="GL27">
        <f t="shared" si="37"/>
        <v>0</v>
      </c>
      <c r="GM27">
        <f t="shared" si="38"/>
        <v>6767</v>
      </c>
      <c r="GN27">
        <f t="shared" si="39"/>
        <v>6767</v>
      </c>
      <c r="GO27">
        <f t="shared" si="40"/>
        <v>0</v>
      </c>
      <c r="GP27">
        <f t="shared" si="41"/>
        <v>0</v>
      </c>
      <c r="GR27">
        <v>0</v>
      </c>
    </row>
    <row r="28" spans="1:200" ht="12.75">
      <c r="A28">
        <v>17</v>
      </c>
      <c r="B28">
        <v>1</v>
      </c>
      <c r="C28">
        <f>ROW(SmtRes!A28)</f>
        <v>28</v>
      </c>
      <c r="D28">
        <f>ROW(EtalonRes!A40)</f>
        <v>40</v>
      </c>
      <c r="E28" t="s">
        <v>49</v>
      </c>
      <c r="F28" t="s">
        <v>50</v>
      </c>
      <c r="G28" t="s">
        <v>51</v>
      </c>
      <c r="H28" t="s">
        <v>52</v>
      </c>
      <c r="I28">
        <v>0.388</v>
      </c>
      <c r="J28">
        <v>0</v>
      </c>
      <c r="O28">
        <f t="shared" si="10"/>
        <v>696</v>
      </c>
      <c r="P28">
        <f t="shared" si="11"/>
        <v>182</v>
      </c>
      <c r="Q28">
        <f t="shared" si="12"/>
        <v>1</v>
      </c>
      <c r="R28">
        <f t="shared" si="13"/>
        <v>0</v>
      </c>
      <c r="S28">
        <f t="shared" si="14"/>
        <v>513</v>
      </c>
      <c r="T28">
        <f t="shared" si="15"/>
        <v>0</v>
      </c>
      <c r="U28">
        <f t="shared" si="16"/>
        <v>3.61422</v>
      </c>
      <c r="V28">
        <f t="shared" si="17"/>
        <v>0.00485</v>
      </c>
      <c r="W28">
        <f t="shared" si="18"/>
        <v>0</v>
      </c>
      <c r="X28">
        <f t="shared" si="19"/>
        <v>412</v>
      </c>
      <c r="Y28">
        <f t="shared" si="20"/>
        <v>192</v>
      </c>
      <c r="AA28">
        <v>26994759</v>
      </c>
      <c r="AB28">
        <f t="shared" si="21"/>
        <v>1792.17</v>
      </c>
      <c r="AC28">
        <f>ROUND((SUM(SmtRes!BQ24:SmtRes!BQ28)),2)</f>
        <v>467.94</v>
      </c>
      <c r="AD28">
        <f>ROUND((SUM(SmtRes!BR24:SmtRes!BR28)),2)</f>
        <v>3.08</v>
      </c>
      <c r="AE28">
        <f t="shared" si="22"/>
        <v>0</v>
      </c>
      <c r="AF28">
        <f>ROUND((SUM(SmtRes!BT24:SmtRes!BT28)),2)</f>
        <v>1321.15</v>
      </c>
      <c r="AG28">
        <f t="shared" si="23"/>
        <v>0</v>
      </c>
      <c r="AH28">
        <f>(SUM(SmtRes!BU24:SmtRes!BU28))</f>
        <v>9.315</v>
      </c>
      <c r="AI28">
        <f>(SUM(SmtRes!BV24:SmtRes!BV28))</f>
        <v>0.0125</v>
      </c>
      <c r="AJ28">
        <f t="shared" si="24"/>
        <v>0</v>
      </c>
      <c r="AK28">
        <v>1619.23456</v>
      </c>
      <c r="AL28">
        <v>467.94386000000003</v>
      </c>
      <c r="AM28">
        <v>2.4677000000000002</v>
      </c>
      <c r="AN28">
        <v>0</v>
      </c>
      <c r="AO28">
        <v>1148.823</v>
      </c>
      <c r="AP28">
        <v>0</v>
      </c>
      <c r="AQ28">
        <v>8.1</v>
      </c>
      <c r="AR28">
        <v>0.01</v>
      </c>
      <c r="AS28">
        <v>0</v>
      </c>
      <c r="AT28">
        <v>80.33</v>
      </c>
      <c r="AU28">
        <v>37.4</v>
      </c>
      <c r="AV28">
        <v>1</v>
      </c>
      <c r="AW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53</v>
      </c>
      <c r="BM28">
        <v>15001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105</v>
      </c>
      <c r="CA28">
        <v>55</v>
      </c>
      <c r="CF28">
        <v>0</v>
      </c>
      <c r="CG28">
        <v>0</v>
      </c>
      <c r="CM28">
        <v>0</v>
      </c>
      <c r="CO28">
        <v>0</v>
      </c>
      <c r="CP28">
        <f t="shared" si="25"/>
        <v>696</v>
      </c>
      <c r="CQ28">
        <f t="shared" si="26"/>
        <v>467.94</v>
      </c>
      <c r="CR28">
        <f t="shared" si="27"/>
        <v>3.08</v>
      </c>
      <c r="CS28">
        <f t="shared" si="28"/>
        <v>0</v>
      </c>
      <c r="CT28">
        <f t="shared" si="29"/>
        <v>1321.15</v>
      </c>
      <c r="CU28">
        <f t="shared" si="30"/>
        <v>0</v>
      </c>
      <c r="CV28">
        <f t="shared" si="31"/>
        <v>9.315</v>
      </c>
      <c r="CW28">
        <f t="shared" si="32"/>
        <v>0.0125</v>
      </c>
      <c r="CX28">
        <f t="shared" si="33"/>
        <v>0</v>
      </c>
      <c r="CY28">
        <f t="shared" si="34"/>
        <v>412.0929</v>
      </c>
      <c r="CZ28">
        <f t="shared" si="35"/>
        <v>191.862</v>
      </c>
      <c r="DE28" t="s">
        <v>17</v>
      </c>
      <c r="DF28" t="s">
        <v>17</v>
      </c>
      <c r="DG28" t="s">
        <v>18</v>
      </c>
      <c r="DI28" t="s">
        <v>18</v>
      </c>
      <c r="DJ28" t="s">
        <v>17</v>
      </c>
      <c r="DL28" t="s">
        <v>54</v>
      </c>
      <c r="DM28" t="s">
        <v>55</v>
      </c>
      <c r="DN28">
        <v>0</v>
      </c>
      <c r="DO28">
        <v>0</v>
      </c>
      <c r="DP28">
        <v>1</v>
      </c>
      <c r="DQ28">
        <v>1</v>
      </c>
      <c r="DU28">
        <v>1013</v>
      </c>
      <c r="DV28" t="s">
        <v>52</v>
      </c>
      <c r="DW28" t="s">
        <v>52</v>
      </c>
      <c r="DX28">
        <v>1</v>
      </c>
      <c r="EE28">
        <v>25701076</v>
      </c>
      <c r="EF28">
        <v>2</v>
      </c>
      <c r="EG28" t="s">
        <v>21</v>
      </c>
      <c r="EH28">
        <v>0</v>
      </c>
      <c r="EJ28">
        <v>1</v>
      </c>
      <c r="EK28">
        <v>15001</v>
      </c>
      <c r="EL28" t="s">
        <v>56</v>
      </c>
      <c r="EM28" t="s">
        <v>57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8.1</v>
      </c>
      <c r="EX28">
        <v>0.01</v>
      </c>
      <c r="EY28">
        <v>0</v>
      </c>
      <c r="FQ28">
        <v>0</v>
      </c>
      <c r="FR28">
        <f t="shared" si="36"/>
        <v>0</v>
      </c>
      <c r="FS28">
        <v>0</v>
      </c>
      <c r="FT28" t="s">
        <v>24</v>
      </c>
      <c r="FU28" t="s">
        <v>25</v>
      </c>
      <c r="FX28">
        <v>80.33</v>
      </c>
      <c r="FY28">
        <v>37.4</v>
      </c>
      <c r="GF28">
        <v>-1953727767</v>
      </c>
      <c r="GG28">
        <v>2</v>
      </c>
      <c r="GH28">
        <v>1</v>
      </c>
      <c r="GI28">
        <v>-2</v>
      </c>
      <c r="GJ28">
        <v>0</v>
      </c>
      <c r="GK28">
        <f>ROUND(R28*(R12)/100,0)</f>
        <v>0</v>
      </c>
      <c r="GL28">
        <f t="shared" si="37"/>
        <v>0</v>
      </c>
      <c r="GM28">
        <f t="shared" si="38"/>
        <v>1300</v>
      </c>
      <c r="GN28">
        <f t="shared" si="39"/>
        <v>1300</v>
      </c>
      <c r="GO28">
        <f t="shared" si="40"/>
        <v>0</v>
      </c>
      <c r="GP28">
        <f t="shared" si="41"/>
        <v>0</v>
      </c>
      <c r="GR28">
        <v>0</v>
      </c>
    </row>
    <row r="29" spans="1:200" ht="12.75">
      <c r="A29">
        <v>17</v>
      </c>
      <c r="B29">
        <v>1</v>
      </c>
      <c r="C29">
        <f>ROW(SmtRes!A30)</f>
        <v>30</v>
      </c>
      <c r="D29">
        <f>ROW(EtalonRes!A48)</f>
        <v>48</v>
      </c>
      <c r="E29" t="s">
        <v>58</v>
      </c>
      <c r="F29" t="s">
        <v>59</v>
      </c>
      <c r="G29" t="s">
        <v>60</v>
      </c>
      <c r="H29" t="s">
        <v>61</v>
      </c>
      <c r="I29">
        <v>0.388</v>
      </c>
      <c r="J29">
        <v>0</v>
      </c>
      <c r="O29">
        <f t="shared" si="10"/>
        <v>3341</v>
      </c>
      <c r="P29">
        <f t="shared" si="11"/>
        <v>475</v>
      </c>
      <c r="Q29">
        <f t="shared" si="12"/>
        <v>0</v>
      </c>
      <c r="R29">
        <f t="shared" si="13"/>
        <v>0</v>
      </c>
      <c r="S29">
        <f t="shared" si="14"/>
        <v>2866</v>
      </c>
      <c r="T29">
        <f t="shared" si="15"/>
        <v>0</v>
      </c>
      <c r="U29">
        <f t="shared" si="16"/>
        <v>22.79888</v>
      </c>
      <c r="V29">
        <f t="shared" si="17"/>
        <v>0</v>
      </c>
      <c r="W29">
        <f t="shared" si="18"/>
        <v>0</v>
      </c>
      <c r="X29">
        <f t="shared" si="19"/>
        <v>1949</v>
      </c>
      <c r="Y29">
        <f t="shared" si="20"/>
        <v>1146</v>
      </c>
      <c r="AA29">
        <v>26994759</v>
      </c>
      <c r="AB29">
        <f t="shared" si="21"/>
        <v>8611.63</v>
      </c>
      <c r="AC29">
        <f>ROUND((SUM(SmtRes!BQ29:SmtRes!BQ30)),2)</f>
        <v>1224.32</v>
      </c>
      <c r="AD29">
        <f>ROUND((0),2)</f>
        <v>0</v>
      </c>
      <c r="AE29">
        <f t="shared" si="22"/>
        <v>0</v>
      </c>
      <c r="AF29">
        <f>ROUND((SUM(SmtRes!BT29:SmtRes!BT30)),2)</f>
        <v>7387.31</v>
      </c>
      <c r="AG29">
        <f t="shared" si="23"/>
        <v>0</v>
      </c>
      <c r="AH29">
        <f>(SUM(SmtRes!BU29:SmtRes!BU30))</f>
        <v>58.76</v>
      </c>
      <c r="AI29">
        <f>(0)</f>
        <v>0</v>
      </c>
      <c r="AJ29">
        <f t="shared" si="24"/>
        <v>0</v>
      </c>
      <c r="AK29">
        <v>4305.811772</v>
      </c>
      <c r="AL29">
        <v>612.158172</v>
      </c>
      <c r="AM29">
        <v>0</v>
      </c>
      <c r="AN29">
        <v>0</v>
      </c>
      <c r="AO29">
        <v>3693.6535999999996</v>
      </c>
      <c r="AP29">
        <v>0</v>
      </c>
      <c r="AQ29">
        <v>29.38</v>
      </c>
      <c r="AR29">
        <v>0</v>
      </c>
      <c r="AS29">
        <v>0</v>
      </c>
      <c r="AT29">
        <v>68</v>
      </c>
      <c r="AU29">
        <v>40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62</v>
      </c>
      <c r="BM29">
        <v>62001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80</v>
      </c>
      <c r="CA29">
        <v>50</v>
      </c>
      <c r="CF29">
        <v>0</v>
      </c>
      <c r="CG29">
        <v>0</v>
      </c>
      <c r="CM29">
        <v>0</v>
      </c>
      <c r="CO29">
        <v>0</v>
      </c>
      <c r="CP29">
        <f t="shared" si="25"/>
        <v>3341</v>
      </c>
      <c r="CQ29">
        <f t="shared" si="26"/>
        <v>1224.32</v>
      </c>
      <c r="CR29">
        <f t="shared" si="27"/>
        <v>0</v>
      </c>
      <c r="CS29">
        <f t="shared" si="28"/>
        <v>0</v>
      </c>
      <c r="CT29">
        <f t="shared" si="29"/>
        <v>7387.31</v>
      </c>
      <c r="CU29">
        <f t="shared" si="30"/>
        <v>0</v>
      </c>
      <c r="CV29">
        <f t="shared" si="31"/>
        <v>58.76</v>
      </c>
      <c r="CW29">
        <f t="shared" si="32"/>
        <v>0</v>
      </c>
      <c r="CX29">
        <f t="shared" si="33"/>
        <v>0</v>
      </c>
      <c r="CY29">
        <f t="shared" si="34"/>
        <v>1948.88</v>
      </c>
      <c r="CZ29">
        <f t="shared" si="35"/>
        <v>1146.4</v>
      </c>
      <c r="DD29" t="s">
        <v>46</v>
      </c>
      <c r="DE29" t="s">
        <v>46</v>
      </c>
      <c r="DF29" t="s">
        <v>46</v>
      </c>
      <c r="DG29" t="s">
        <v>46</v>
      </c>
      <c r="DI29" t="s">
        <v>46</v>
      </c>
      <c r="DJ29" t="s">
        <v>46</v>
      </c>
      <c r="DL29" t="s">
        <v>25</v>
      </c>
      <c r="DM29" t="s">
        <v>63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61</v>
      </c>
      <c r="DW29" t="s">
        <v>61</v>
      </c>
      <c r="DX29">
        <v>1</v>
      </c>
      <c r="EE29">
        <v>25701131</v>
      </c>
      <c r="EF29">
        <v>6</v>
      </c>
      <c r="EG29" t="s">
        <v>64</v>
      </c>
      <c r="EH29">
        <v>0</v>
      </c>
      <c r="EJ29">
        <v>1</v>
      </c>
      <c r="EK29">
        <v>62001</v>
      </c>
      <c r="EL29" t="s">
        <v>65</v>
      </c>
      <c r="EM29" t="s">
        <v>66</v>
      </c>
      <c r="EQ29">
        <v>0</v>
      </c>
      <c r="ER29">
        <v>363.79</v>
      </c>
      <c r="ES29">
        <v>112.31</v>
      </c>
      <c r="ET29">
        <v>0.87</v>
      </c>
      <c r="EU29">
        <v>0</v>
      </c>
      <c r="EV29">
        <v>250.61</v>
      </c>
      <c r="EW29">
        <v>29.38</v>
      </c>
      <c r="EX29">
        <v>0</v>
      </c>
      <c r="EY29">
        <v>0</v>
      </c>
      <c r="FQ29">
        <v>0</v>
      </c>
      <c r="FR29">
        <f t="shared" si="36"/>
        <v>0</v>
      </c>
      <c r="FS29">
        <v>0</v>
      </c>
      <c r="FX29">
        <v>68</v>
      </c>
      <c r="FY29">
        <v>40</v>
      </c>
      <c r="GF29">
        <v>-65374838</v>
      </c>
      <c r="GG29">
        <v>2</v>
      </c>
      <c r="GH29">
        <v>1</v>
      </c>
      <c r="GI29">
        <v>-2</v>
      </c>
      <c r="GJ29">
        <v>0</v>
      </c>
      <c r="GK29">
        <f>ROUND(R29*(R12)/100,0)</f>
        <v>0</v>
      </c>
      <c r="GL29">
        <f t="shared" si="37"/>
        <v>0</v>
      </c>
      <c r="GM29">
        <f t="shared" si="38"/>
        <v>6436</v>
      </c>
      <c r="GN29">
        <f t="shared" si="39"/>
        <v>6436</v>
      </c>
      <c r="GO29">
        <f t="shared" si="40"/>
        <v>0</v>
      </c>
      <c r="GP29">
        <f t="shared" si="41"/>
        <v>0</v>
      </c>
      <c r="GR29">
        <v>0</v>
      </c>
    </row>
    <row r="30" spans="1:200" ht="12.75">
      <c r="A30">
        <v>17</v>
      </c>
      <c r="B30">
        <v>1</v>
      </c>
      <c r="C30">
        <f>ROW(SmtRes!A38)</f>
        <v>38</v>
      </c>
      <c r="D30">
        <f>ROW(EtalonRes!A56)</f>
        <v>56</v>
      </c>
      <c r="E30" t="s">
        <v>67</v>
      </c>
      <c r="F30" t="s">
        <v>68</v>
      </c>
      <c r="G30" t="s">
        <v>69</v>
      </c>
      <c r="H30" t="s">
        <v>70</v>
      </c>
      <c r="I30">
        <v>0.388</v>
      </c>
      <c r="J30">
        <v>0</v>
      </c>
      <c r="O30">
        <f t="shared" si="10"/>
        <v>3480</v>
      </c>
      <c r="P30">
        <f t="shared" si="11"/>
        <v>2449</v>
      </c>
      <c r="Q30">
        <f t="shared" si="12"/>
        <v>31</v>
      </c>
      <c r="R30">
        <f t="shared" si="13"/>
        <v>0</v>
      </c>
      <c r="S30">
        <f t="shared" si="14"/>
        <v>1000</v>
      </c>
      <c r="T30">
        <f t="shared" si="15"/>
        <v>0</v>
      </c>
      <c r="U30">
        <f t="shared" si="16"/>
        <v>7.558628000000001</v>
      </c>
      <c r="V30">
        <f t="shared" si="17"/>
        <v>0.00485</v>
      </c>
      <c r="W30">
        <f t="shared" si="18"/>
        <v>0</v>
      </c>
      <c r="X30">
        <f t="shared" si="19"/>
        <v>803</v>
      </c>
      <c r="Y30">
        <f t="shared" si="20"/>
        <v>374</v>
      </c>
      <c r="AA30">
        <v>26994759</v>
      </c>
      <c r="AB30">
        <f t="shared" si="21"/>
        <v>8969.5</v>
      </c>
      <c r="AC30">
        <f>ROUND((SUM(SmtRes!BQ31:SmtRes!BQ38)),2)</f>
        <v>6311.5</v>
      </c>
      <c r="AD30">
        <f>ROUND((SUM(SmtRes!BR31:SmtRes!BR38)),2)</f>
        <v>80.86</v>
      </c>
      <c r="AE30">
        <f t="shared" si="22"/>
        <v>0</v>
      </c>
      <c r="AF30">
        <f>ROUND((SUM(SmtRes!BT31:SmtRes!BT38)),2)</f>
        <v>2577.14</v>
      </c>
      <c r="AG30">
        <f t="shared" si="23"/>
        <v>0</v>
      </c>
      <c r="AH30">
        <f>(SUM(SmtRes!BU31:SmtRes!BU38))</f>
        <v>19.481</v>
      </c>
      <c r="AI30">
        <f>(SUM(SmtRes!BV31:SmtRes!BV38))</f>
        <v>0.0125</v>
      </c>
      <c r="AJ30">
        <f t="shared" si="24"/>
        <v>0</v>
      </c>
      <c r="AK30">
        <v>8617.178265</v>
      </c>
      <c r="AL30">
        <v>6311.500965</v>
      </c>
      <c r="AM30">
        <v>64.68469999999999</v>
      </c>
      <c r="AN30">
        <v>0</v>
      </c>
      <c r="AO30">
        <v>2240.9926</v>
      </c>
      <c r="AP30">
        <v>0</v>
      </c>
      <c r="AQ30">
        <v>16.94</v>
      </c>
      <c r="AR30">
        <v>0.01</v>
      </c>
      <c r="AS30">
        <v>0</v>
      </c>
      <c r="AT30">
        <v>80.33</v>
      </c>
      <c r="AU30">
        <v>37.4</v>
      </c>
      <c r="AV30">
        <v>1</v>
      </c>
      <c r="AW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71</v>
      </c>
      <c r="BM30">
        <v>15001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105</v>
      </c>
      <c r="CA30">
        <v>55</v>
      </c>
      <c r="CF30">
        <v>0</v>
      </c>
      <c r="CG30">
        <v>0</v>
      </c>
      <c r="CM30">
        <v>0</v>
      </c>
      <c r="CO30">
        <v>0</v>
      </c>
      <c r="CP30">
        <f t="shared" si="25"/>
        <v>3480</v>
      </c>
      <c r="CQ30">
        <f t="shared" si="26"/>
        <v>6311.5</v>
      </c>
      <c r="CR30">
        <f t="shared" si="27"/>
        <v>80.86</v>
      </c>
      <c r="CS30">
        <f t="shared" si="28"/>
        <v>0</v>
      </c>
      <c r="CT30">
        <f t="shared" si="29"/>
        <v>2577.14</v>
      </c>
      <c r="CU30">
        <f t="shared" si="30"/>
        <v>0</v>
      </c>
      <c r="CV30">
        <f t="shared" si="31"/>
        <v>19.481</v>
      </c>
      <c r="CW30">
        <f t="shared" si="32"/>
        <v>0.0125</v>
      </c>
      <c r="CX30">
        <f t="shared" si="33"/>
        <v>0</v>
      </c>
      <c r="CY30">
        <f t="shared" si="34"/>
        <v>803.3000000000001</v>
      </c>
      <c r="CZ30">
        <f t="shared" si="35"/>
        <v>374</v>
      </c>
      <c r="DE30" t="s">
        <v>17</v>
      </c>
      <c r="DF30" t="s">
        <v>17</v>
      </c>
      <c r="DG30" t="s">
        <v>18</v>
      </c>
      <c r="DI30" t="s">
        <v>18</v>
      </c>
      <c r="DJ30" t="s">
        <v>17</v>
      </c>
      <c r="DL30" t="s">
        <v>54</v>
      </c>
      <c r="DM30" t="s">
        <v>55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70</v>
      </c>
      <c r="DW30" t="s">
        <v>70</v>
      </c>
      <c r="DX30">
        <v>100</v>
      </c>
      <c r="EE30">
        <v>25701076</v>
      </c>
      <c r="EF30">
        <v>2</v>
      </c>
      <c r="EG30" t="s">
        <v>21</v>
      </c>
      <c r="EH30">
        <v>0</v>
      </c>
      <c r="EJ30">
        <v>1</v>
      </c>
      <c r="EK30">
        <v>15001</v>
      </c>
      <c r="EL30" t="s">
        <v>56</v>
      </c>
      <c r="EM30" t="s">
        <v>57</v>
      </c>
      <c r="EQ30">
        <v>0</v>
      </c>
      <c r="ER30">
        <v>1090.21</v>
      </c>
      <c r="ES30">
        <v>930.1</v>
      </c>
      <c r="ET30">
        <v>8.16</v>
      </c>
      <c r="EU30">
        <v>0.14</v>
      </c>
      <c r="EV30">
        <v>151.95</v>
      </c>
      <c r="EW30">
        <v>16.94</v>
      </c>
      <c r="EX30">
        <v>0.01</v>
      </c>
      <c r="EY30">
        <v>0</v>
      </c>
      <c r="FQ30">
        <v>0</v>
      </c>
      <c r="FR30">
        <f t="shared" si="36"/>
        <v>0</v>
      </c>
      <c r="FS30">
        <v>0</v>
      </c>
      <c r="FT30" t="s">
        <v>24</v>
      </c>
      <c r="FU30" t="s">
        <v>25</v>
      </c>
      <c r="FX30">
        <v>80.33</v>
      </c>
      <c r="FY30">
        <v>37.4</v>
      </c>
      <c r="GF30">
        <v>-1975510736</v>
      </c>
      <c r="GG30">
        <v>2</v>
      </c>
      <c r="GH30">
        <v>1</v>
      </c>
      <c r="GI30">
        <v>-2</v>
      </c>
      <c r="GJ30">
        <v>0</v>
      </c>
      <c r="GK30">
        <f>ROUND(R30*(R12)/100,0)</f>
        <v>0</v>
      </c>
      <c r="GL30">
        <f t="shared" si="37"/>
        <v>0</v>
      </c>
      <c r="GM30">
        <f t="shared" si="38"/>
        <v>4657</v>
      </c>
      <c r="GN30">
        <f t="shared" si="39"/>
        <v>4657</v>
      </c>
      <c r="GO30">
        <f t="shared" si="40"/>
        <v>0</v>
      </c>
      <c r="GP30">
        <f t="shared" si="41"/>
        <v>0</v>
      </c>
      <c r="GR30">
        <v>0</v>
      </c>
    </row>
    <row r="31" spans="1:200" ht="12.75">
      <c r="A31">
        <v>17</v>
      </c>
      <c r="B31">
        <v>1</v>
      </c>
      <c r="C31">
        <f>ROW(SmtRes!A43)</f>
        <v>43</v>
      </c>
      <c r="D31">
        <f>ROW(EtalonRes!A62)</f>
        <v>62</v>
      </c>
      <c r="E31" t="s">
        <v>72</v>
      </c>
      <c r="F31" t="s">
        <v>73</v>
      </c>
      <c r="G31" t="s">
        <v>74</v>
      </c>
      <c r="H31" t="s">
        <v>52</v>
      </c>
      <c r="I31">
        <v>0.738</v>
      </c>
      <c r="J31">
        <v>0</v>
      </c>
      <c r="O31">
        <f t="shared" si="10"/>
        <v>1168</v>
      </c>
      <c r="P31">
        <f t="shared" si="11"/>
        <v>378</v>
      </c>
      <c r="Q31">
        <f t="shared" si="12"/>
        <v>2</v>
      </c>
      <c r="R31">
        <f t="shared" si="13"/>
        <v>0</v>
      </c>
      <c r="S31">
        <f t="shared" si="14"/>
        <v>788</v>
      </c>
      <c r="T31">
        <f t="shared" si="15"/>
        <v>0</v>
      </c>
      <c r="U31">
        <f t="shared" si="16"/>
        <v>5.558984999999999</v>
      </c>
      <c r="V31">
        <f t="shared" si="17"/>
        <v>0.009225</v>
      </c>
      <c r="W31">
        <f t="shared" si="18"/>
        <v>0</v>
      </c>
      <c r="X31">
        <f t="shared" si="19"/>
        <v>633</v>
      </c>
      <c r="Y31">
        <f t="shared" si="20"/>
        <v>295</v>
      </c>
      <c r="AA31">
        <v>26994759</v>
      </c>
      <c r="AB31">
        <f t="shared" si="21"/>
        <v>1583.63</v>
      </c>
      <c r="AC31">
        <f>ROUND((SUM(SmtRes!BQ39:SmtRes!BQ43)),2)</f>
        <v>512.06</v>
      </c>
      <c r="AD31">
        <f>ROUND((SUM(SmtRes!BR39:SmtRes!BR43)),2)</f>
        <v>3.24</v>
      </c>
      <c r="AE31">
        <f t="shared" si="22"/>
        <v>0</v>
      </c>
      <c r="AF31">
        <f>ROUND((SUM(SmtRes!BT39:SmtRes!BT43)),2)</f>
        <v>1068.33</v>
      </c>
      <c r="AG31">
        <f t="shared" si="23"/>
        <v>0</v>
      </c>
      <c r="AH31">
        <f>(SUM(SmtRes!BU39:SmtRes!BU43))</f>
        <v>7.532499999999999</v>
      </c>
      <c r="AI31">
        <f>(SUM(SmtRes!BV39:SmtRes!BV43))</f>
        <v>0.0125</v>
      </c>
      <c r="AJ31">
        <f t="shared" si="24"/>
        <v>0</v>
      </c>
      <c r="AK31">
        <v>1443.63755</v>
      </c>
      <c r="AL31">
        <v>512.06165</v>
      </c>
      <c r="AM31">
        <v>2.5894</v>
      </c>
      <c r="AN31">
        <v>0</v>
      </c>
      <c r="AO31">
        <v>928.9865000000001</v>
      </c>
      <c r="AP31">
        <v>0</v>
      </c>
      <c r="AQ31">
        <v>6.55</v>
      </c>
      <c r="AR31">
        <v>0.01</v>
      </c>
      <c r="AS31">
        <v>0</v>
      </c>
      <c r="AT31">
        <v>80.33</v>
      </c>
      <c r="AU31">
        <v>37.4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1</v>
      </c>
      <c r="BH31">
        <v>0</v>
      </c>
      <c r="BI31">
        <v>1</v>
      </c>
      <c r="BJ31" t="s">
        <v>75</v>
      </c>
      <c r="BM31">
        <v>15001</v>
      </c>
      <c r="BN31">
        <v>0</v>
      </c>
      <c r="BP31">
        <v>0</v>
      </c>
      <c r="BQ31">
        <v>2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105</v>
      </c>
      <c r="CA31">
        <v>55</v>
      </c>
      <c r="CF31">
        <v>0</v>
      </c>
      <c r="CG31">
        <v>0</v>
      </c>
      <c r="CM31">
        <v>0</v>
      </c>
      <c r="CO31">
        <v>0</v>
      </c>
      <c r="CP31">
        <f t="shared" si="25"/>
        <v>1168</v>
      </c>
      <c r="CQ31">
        <f t="shared" si="26"/>
        <v>512.06</v>
      </c>
      <c r="CR31">
        <f t="shared" si="27"/>
        <v>3.24</v>
      </c>
      <c r="CS31">
        <f t="shared" si="28"/>
        <v>0</v>
      </c>
      <c r="CT31">
        <f t="shared" si="29"/>
        <v>1068.33</v>
      </c>
      <c r="CU31">
        <f t="shared" si="30"/>
        <v>0</v>
      </c>
      <c r="CV31">
        <f t="shared" si="31"/>
        <v>7.532499999999999</v>
      </c>
      <c r="CW31">
        <f t="shared" si="32"/>
        <v>0.0125</v>
      </c>
      <c r="CX31">
        <f t="shared" si="33"/>
        <v>0</v>
      </c>
      <c r="CY31">
        <f t="shared" si="34"/>
        <v>633.0004</v>
      </c>
      <c r="CZ31">
        <f t="shared" si="35"/>
        <v>294.712</v>
      </c>
      <c r="DE31" t="s">
        <v>17</v>
      </c>
      <c r="DF31" t="s">
        <v>17</v>
      </c>
      <c r="DG31" t="s">
        <v>18</v>
      </c>
      <c r="DI31" t="s">
        <v>18</v>
      </c>
      <c r="DJ31" t="s">
        <v>17</v>
      </c>
      <c r="DL31" t="s">
        <v>54</v>
      </c>
      <c r="DM31" t="s">
        <v>55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52</v>
      </c>
      <c r="DW31" t="s">
        <v>52</v>
      </c>
      <c r="DX31">
        <v>1</v>
      </c>
      <c r="EE31">
        <v>25701076</v>
      </c>
      <c r="EF31">
        <v>2</v>
      </c>
      <c r="EG31" t="s">
        <v>21</v>
      </c>
      <c r="EH31">
        <v>0</v>
      </c>
      <c r="EJ31">
        <v>1</v>
      </c>
      <c r="EK31">
        <v>15001</v>
      </c>
      <c r="EL31" t="s">
        <v>56</v>
      </c>
      <c r="EM31" t="s">
        <v>57</v>
      </c>
      <c r="EQ31">
        <v>131072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6.55</v>
      </c>
      <c r="EX31">
        <v>0.01</v>
      </c>
      <c r="EY31">
        <v>0</v>
      </c>
      <c r="FQ31">
        <v>0</v>
      </c>
      <c r="FR31">
        <f t="shared" si="36"/>
        <v>0</v>
      </c>
      <c r="FS31">
        <v>0</v>
      </c>
      <c r="FT31" t="s">
        <v>24</v>
      </c>
      <c r="FU31" t="s">
        <v>25</v>
      </c>
      <c r="FX31">
        <v>80.33</v>
      </c>
      <c r="FY31">
        <v>37.4</v>
      </c>
      <c r="GF31">
        <v>-930272165</v>
      </c>
      <c r="GG31">
        <v>2</v>
      </c>
      <c r="GH31">
        <v>1</v>
      </c>
      <c r="GI31">
        <v>-2</v>
      </c>
      <c r="GJ31">
        <v>0</v>
      </c>
      <c r="GK31">
        <f>ROUND(R31*(R12)/100,0)</f>
        <v>0</v>
      </c>
      <c r="GL31">
        <f t="shared" si="37"/>
        <v>0</v>
      </c>
      <c r="GM31">
        <f t="shared" si="38"/>
        <v>2096</v>
      </c>
      <c r="GN31">
        <f t="shared" si="39"/>
        <v>2096</v>
      </c>
      <c r="GO31">
        <f t="shared" si="40"/>
        <v>0</v>
      </c>
      <c r="GP31">
        <f t="shared" si="41"/>
        <v>0</v>
      </c>
      <c r="GR31">
        <v>0</v>
      </c>
    </row>
    <row r="32" spans="1:200" ht="12.75">
      <c r="A32">
        <v>17</v>
      </c>
      <c r="B32">
        <v>1</v>
      </c>
      <c r="C32">
        <f>ROW(SmtRes!A45)</f>
        <v>45</v>
      </c>
      <c r="D32">
        <f>ROW(EtalonRes!A65)</f>
        <v>65</v>
      </c>
      <c r="E32" t="s">
        <v>76</v>
      </c>
      <c r="F32" t="s">
        <v>77</v>
      </c>
      <c r="G32" t="s">
        <v>78</v>
      </c>
      <c r="H32" t="s">
        <v>29</v>
      </c>
      <c r="I32">
        <v>0.738</v>
      </c>
      <c r="J32">
        <v>0</v>
      </c>
      <c r="O32">
        <f t="shared" si="10"/>
        <v>4023</v>
      </c>
      <c r="P32">
        <f t="shared" si="11"/>
        <v>1948</v>
      </c>
      <c r="Q32">
        <f t="shared" si="12"/>
        <v>0</v>
      </c>
      <c r="R32">
        <f t="shared" si="13"/>
        <v>0</v>
      </c>
      <c r="S32">
        <f t="shared" si="14"/>
        <v>2075</v>
      </c>
      <c r="T32">
        <f t="shared" si="15"/>
        <v>0</v>
      </c>
      <c r="U32">
        <f t="shared" si="16"/>
        <v>17.39835</v>
      </c>
      <c r="V32">
        <f t="shared" si="17"/>
        <v>0</v>
      </c>
      <c r="W32">
        <f t="shared" si="18"/>
        <v>0</v>
      </c>
      <c r="X32">
        <f t="shared" si="19"/>
        <v>1873</v>
      </c>
      <c r="Y32">
        <f t="shared" si="20"/>
        <v>889</v>
      </c>
      <c r="AA32">
        <v>26994759</v>
      </c>
      <c r="AB32">
        <f t="shared" si="21"/>
        <v>5451.09</v>
      </c>
      <c r="AC32">
        <f>ROUND((SUM(SmtRes!BQ44:SmtRes!BQ45)),2)</f>
        <v>2639.77</v>
      </c>
      <c r="AD32">
        <f>ROUND((0),2)</f>
        <v>0</v>
      </c>
      <c r="AE32">
        <f t="shared" si="22"/>
        <v>0</v>
      </c>
      <c r="AF32">
        <f>ROUND((SUM(SmtRes!BT44:SmtRes!BT45)),2)</f>
        <v>2811.32</v>
      </c>
      <c r="AG32">
        <f t="shared" si="23"/>
        <v>0</v>
      </c>
      <c r="AH32">
        <f>(SUM(SmtRes!BU44:SmtRes!BU45))</f>
        <v>23.575</v>
      </c>
      <c r="AI32">
        <f>(0)</f>
        <v>0</v>
      </c>
      <c r="AJ32">
        <f t="shared" si="24"/>
        <v>0</v>
      </c>
      <c r="AK32">
        <v>5084.3942307692305</v>
      </c>
      <c r="AL32">
        <v>2639.769230769231</v>
      </c>
      <c r="AM32">
        <v>0</v>
      </c>
      <c r="AN32">
        <v>0</v>
      </c>
      <c r="AO32">
        <v>2444.625</v>
      </c>
      <c r="AP32">
        <v>0</v>
      </c>
      <c r="AQ32">
        <v>20.5</v>
      </c>
      <c r="AR32">
        <v>0</v>
      </c>
      <c r="AS32">
        <v>0</v>
      </c>
      <c r="AT32">
        <v>90.27</v>
      </c>
      <c r="AU32">
        <v>42.84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1</v>
      </c>
      <c r="BH32">
        <v>0</v>
      </c>
      <c r="BI32">
        <v>1</v>
      </c>
      <c r="BJ32" t="s">
        <v>79</v>
      </c>
      <c r="BM32">
        <v>10001</v>
      </c>
      <c r="BN32">
        <v>0</v>
      </c>
      <c r="BP32">
        <v>0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118</v>
      </c>
      <c r="CA32">
        <v>63</v>
      </c>
      <c r="CF32">
        <v>0</v>
      </c>
      <c r="CG32">
        <v>0</v>
      </c>
      <c r="CM32">
        <v>0</v>
      </c>
      <c r="CO32">
        <v>0</v>
      </c>
      <c r="CP32">
        <f t="shared" si="25"/>
        <v>4023</v>
      </c>
      <c r="CQ32">
        <f t="shared" si="26"/>
        <v>2639.77</v>
      </c>
      <c r="CR32">
        <f t="shared" si="27"/>
        <v>0</v>
      </c>
      <c r="CS32">
        <f t="shared" si="28"/>
        <v>0</v>
      </c>
      <c r="CT32">
        <f t="shared" si="29"/>
        <v>2811.32</v>
      </c>
      <c r="CU32">
        <f t="shared" si="30"/>
        <v>0</v>
      </c>
      <c r="CV32">
        <f t="shared" si="31"/>
        <v>23.575</v>
      </c>
      <c r="CW32">
        <f t="shared" si="32"/>
        <v>0</v>
      </c>
      <c r="CX32">
        <f t="shared" si="33"/>
        <v>0</v>
      </c>
      <c r="CY32">
        <f t="shared" si="34"/>
        <v>1873.1025</v>
      </c>
      <c r="CZ32">
        <f t="shared" si="35"/>
        <v>888.9300000000002</v>
      </c>
      <c r="DE32" t="s">
        <v>17</v>
      </c>
      <c r="DF32" t="s">
        <v>17</v>
      </c>
      <c r="DG32" t="s">
        <v>18</v>
      </c>
      <c r="DI32" t="s">
        <v>18</v>
      </c>
      <c r="DJ32" t="s">
        <v>17</v>
      </c>
      <c r="DL32" t="s">
        <v>19</v>
      </c>
      <c r="DM32" t="s">
        <v>20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29</v>
      </c>
      <c r="DW32" t="s">
        <v>29</v>
      </c>
      <c r="DX32">
        <v>100</v>
      </c>
      <c r="EE32">
        <v>25701053</v>
      </c>
      <c r="EF32">
        <v>2</v>
      </c>
      <c r="EG32" t="s">
        <v>21</v>
      </c>
      <c r="EH32">
        <v>0</v>
      </c>
      <c r="EJ32">
        <v>1</v>
      </c>
      <c r="EK32">
        <v>10001</v>
      </c>
      <c r="EL32" t="s">
        <v>22</v>
      </c>
      <c r="EM32" t="s">
        <v>23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20.5</v>
      </c>
      <c r="EX32">
        <v>0</v>
      </c>
      <c r="EY32">
        <v>0</v>
      </c>
      <c r="FQ32">
        <v>0</v>
      </c>
      <c r="FR32">
        <f t="shared" si="36"/>
        <v>0</v>
      </c>
      <c r="FS32">
        <v>0</v>
      </c>
      <c r="FT32" t="s">
        <v>24</v>
      </c>
      <c r="FU32" t="s">
        <v>25</v>
      </c>
      <c r="FX32">
        <v>90.27</v>
      </c>
      <c r="FY32">
        <v>42.84</v>
      </c>
      <c r="GF32">
        <v>1068407832</v>
      </c>
      <c r="GG32">
        <v>2</v>
      </c>
      <c r="GH32">
        <v>1</v>
      </c>
      <c r="GI32">
        <v>-2</v>
      </c>
      <c r="GJ32">
        <v>0</v>
      </c>
      <c r="GK32">
        <f>ROUND(R32*(R12)/100,0)</f>
        <v>0</v>
      </c>
      <c r="GL32">
        <f t="shared" si="37"/>
        <v>0</v>
      </c>
      <c r="GM32">
        <f t="shared" si="38"/>
        <v>6785</v>
      </c>
      <c r="GN32">
        <f t="shared" si="39"/>
        <v>6785</v>
      </c>
      <c r="GO32">
        <f t="shared" si="40"/>
        <v>0</v>
      </c>
      <c r="GP32">
        <f t="shared" si="41"/>
        <v>0</v>
      </c>
      <c r="GR32">
        <v>0</v>
      </c>
    </row>
    <row r="33" spans="1:200" ht="12.75">
      <c r="A33">
        <v>17</v>
      </c>
      <c r="B33">
        <v>1</v>
      </c>
      <c r="C33">
        <f>ROW(SmtRes!A50)</f>
        <v>50</v>
      </c>
      <c r="D33">
        <f>ROW(EtalonRes!A71)</f>
        <v>71</v>
      </c>
      <c r="E33" t="s">
        <v>80</v>
      </c>
      <c r="F33" t="s">
        <v>81</v>
      </c>
      <c r="G33" t="s">
        <v>82</v>
      </c>
      <c r="H33" t="s">
        <v>83</v>
      </c>
      <c r="I33">
        <v>0.738</v>
      </c>
      <c r="J33">
        <v>0</v>
      </c>
      <c r="O33">
        <f t="shared" si="10"/>
        <v>14691</v>
      </c>
      <c r="P33">
        <f t="shared" si="11"/>
        <v>7691</v>
      </c>
      <c r="Q33">
        <f t="shared" si="12"/>
        <v>67</v>
      </c>
      <c r="R33">
        <f t="shared" si="13"/>
        <v>0</v>
      </c>
      <c r="S33">
        <f t="shared" si="14"/>
        <v>6933</v>
      </c>
      <c r="T33">
        <f t="shared" si="15"/>
        <v>0</v>
      </c>
      <c r="U33">
        <f t="shared" si="16"/>
        <v>60.2208</v>
      </c>
      <c r="V33">
        <f t="shared" si="17"/>
        <v>0</v>
      </c>
      <c r="W33">
        <f t="shared" si="18"/>
        <v>0</v>
      </c>
      <c r="X33">
        <f t="shared" si="19"/>
        <v>4656</v>
      </c>
      <c r="Y33">
        <f t="shared" si="20"/>
        <v>2773</v>
      </c>
      <c r="AA33">
        <v>26994759</v>
      </c>
      <c r="AB33">
        <f t="shared" si="21"/>
        <v>19905.81</v>
      </c>
      <c r="AC33">
        <f>ROUND((SUM(SmtRes!BQ46:SmtRes!BQ50)),2)</f>
        <v>10421.57</v>
      </c>
      <c r="AD33">
        <f>ROUND((SUM(SmtRes!BR46:SmtRes!BR50)),2)</f>
        <v>90.45</v>
      </c>
      <c r="AE33">
        <f t="shared" si="22"/>
        <v>0</v>
      </c>
      <c r="AF33">
        <f>ROUND((SUM(SmtRes!BT46:SmtRes!BT50)),2)</f>
        <v>9393.79</v>
      </c>
      <c r="AG33">
        <f t="shared" si="23"/>
        <v>0</v>
      </c>
      <c r="AH33">
        <f>(SUM(SmtRes!BU46:SmtRes!BU50))</f>
        <v>81.6</v>
      </c>
      <c r="AI33">
        <f>(0)</f>
        <v>0</v>
      </c>
      <c r="AJ33">
        <f t="shared" si="24"/>
        <v>0</v>
      </c>
      <c r="AK33">
        <v>19905.8045</v>
      </c>
      <c r="AL33">
        <v>10421.5675</v>
      </c>
      <c r="AM33">
        <v>90.445</v>
      </c>
      <c r="AN33">
        <v>0</v>
      </c>
      <c r="AO33">
        <v>9393.792</v>
      </c>
      <c r="AP33">
        <v>0</v>
      </c>
      <c r="AQ33">
        <v>81.6</v>
      </c>
      <c r="AR33">
        <v>0</v>
      </c>
      <c r="AS33">
        <v>0</v>
      </c>
      <c r="AT33">
        <v>67.15</v>
      </c>
      <c r="AU33">
        <v>40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1</v>
      </c>
      <c r="BH33">
        <v>0</v>
      </c>
      <c r="BI33">
        <v>1</v>
      </c>
      <c r="BJ33" t="s">
        <v>84</v>
      </c>
      <c r="BM33">
        <v>61001</v>
      </c>
      <c r="BN33">
        <v>0</v>
      </c>
      <c r="BP33">
        <v>0</v>
      </c>
      <c r="BQ33">
        <v>6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79</v>
      </c>
      <c r="CA33">
        <v>50</v>
      </c>
      <c r="CF33">
        <v>0</v>
      </c>
      <c r="CG33">
        <v>0</v>
      </c>
      <c r="CM33">
        <v>0</v>
      </c>
      <c r="CO33">
        <v>0</v>
      </c>
      <c r="CP33">
        <f t="shared" si="25"/>
        <v>14691</v>
      </c>
      <c r="CQ33">
        <f t="shared" si="26"/>
        <v>10421.57</v>
      </c>
      <c r="CR33">
        <f t="shared" si="27"/>
        <v>90.45</v>
      </c>
      <c r="CS33">
        <f t="shared" si="28"/>
        <v>0</v>
      </c>
      <c r="CT33">
        <f t="shared" si="29"/>
        <v>9393.79</v>
      </c>
      <c r="CU33">
        <f t="shared" si="30"/>
        <v>0</v>
      </c>
      <c r="CV33">
        <f t="shared" si="31"/>
        <v>81.6</v>
      </c>
      <c r="CW33">
        <f t="shared" si="32"/>
        <v>0</v>
      </c>
      <c r="CX33">
        <f t="shared" si="33"/>
        <v>0</v>
      </c>
      <c r="CY33">
        <f t="shared" si="34"/>
        <v>4655.509500000001</v>
      </c>
      <c r="CZ33">
        <f t="shared" si="35"/>
        <v>2773.2000000000003</v>
      </c>
      <c r="DL33" t="s">
        <v>85</v>
      </c>
      <c r="DM33" t="s">
        <v>86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83</v>
      </c>
      <c r="DW33" t="s">
        <v>83</v>
      </c>
      <c r="DX33">
        <v>1</v>
      </c>
      <c r="EE33">
        <v>25701130</v>
      </c>
      <c r="EF33">
        <v>6</v>
      </c>
      <c r="EG33" t="s">
        <v>64</v>
      </c>
      <c r="EH33">
        <v>0</v>
      </c>
      <c r="EJ33">
        <v>1</v>
      </c>
      <c r="EK33">
        <v>61001</v>
      </c>
      <c r="EL33" t="s">
        <v>87</v>
      </c>
      <c r="EM33" t="s">
        <v>88</v>
      </c>
      <c r="EQ33">
        <v>0</v>
      </c>
      <c r="ER33">
        <v>3938.41</v>
      </c>
      <c r="ES33">
        <v>3290.43</v>
      </c>
      <c r="ET33">
        <v>11.5</v>
      </c>
      <c r="EU33">
        <v>0</v>
      </c>
      <c r="EV33">
        <v>636.48</v>
      </c>
      <c r="EW33">
        <v>81.6</v>
      </c>
      <c r="EX33">
        <v>0</v>
      </c>
      <c r="EY33">
        <v>0</v>
      </c>
      <c r="FQ33">
        <v>0</v>
      </c>
      <c r="FR33">
        <f t="shared" si="36"/>
        <v>0</v>
      </c>
      <c r="FS33">
        <v>0</v>
      </c>
      <c r="FX33">
        <v>67.15</v>
      </c>
      <c r="FY33">
        <v>40</v>
      </c>
      <c r="GF33">
        <v>-2016048151</v>
      </c>
      <c r="GG33">
        <v>2</v>
      </c>
      <c r="GH33">
        <v>1</v>
      </c>
      <c r="GI33">
        <v>-2</v>
      </c>
      <c r="GJ33">
        <v>0</v>
      </c>
      <c r="GK33">
        <f>ROUND(R33*(R12)/100,0)</f>
        <v>0</v>
      </c>
      <c r="GL33">
        <f t="shared" si="37"/>
        <v>0</v>
      </c>
      <c r="GM33">
        <f t="shared" si="38"/>
        <v>22120</v>
      </c>
      <c r="GN33">
        <f t="shared" si="39"/>
        <v>22120</v>
      </c>
      <c r="GO33">
        <f t="shared" si="40"/>
        <v>0</v>
      </c>
      <c r="GP33">
        <f t="shared" si="41"/>
        <v>0</v>
      </c>
      <c r="GR33">
        <v>0</v>
      </c>
    </row>
    <row r="34" spans="1:200" ht="12.75">
      <c r="A34">
        <v>17</v>
      </c>
      <c r="B34">
        <v>1</v>
      </c>
      <c r="C34">
        <f>ROW(SmtRes!A58)</f>
        <v>58</v>
      </c>
      <c r="D34">
        <f>ROW(EtalonRes!A79)</f>
        <v>79</v>
      </c>
      <c r="E34" t="s">
        <v>89</v>
      </c>
      <c r="F34" t="s">
        <v>90</v>
      </c>
      <c r="G34" t="s">
        <v>91</v>
      </c>
      <c r="H34" t="s">
        <v>92</v>
      </c>
      <c r="I34">
        <v>0.738</v>
      </c>
      <c r="J34">
        <v>0</v>
      </c>
      <c r="O34">
        <f t="shared" si="10"/>
        <v>19263</v>
      </c>
      <c r="P34">
        <f t="shared" si="11"/>
        <v>385</v>
      </c>
      <c r="Q34">
        <f t="shared" si="12"/>
        <v>1758</v>
      </c>
      <c r="R34">
        <f t="shared" si="13"/>
        <v>0</v>
      </c>
      <c r="S34">
        <f t="shared" si="14"/>
        <v>17120</v>
      </c>
      <c r="T34">
        <f t="shared" si="15"/>
        <v>0</v>
      </c>
      <c r="U34">
        <f t="shared" si="16"/>
        <v>127.98395999999998</v>
      </c>
      <c r="V34">
        <f t="shared" si="17"/>
        <v>11.19915</v>
      </c>
      <c r="W34">
        <f t="shared" si="18"/>
        <v>0</v>
      </c>
      <c r="X34">
        <f t="shared" si="19"/>
        <v>13752</v>
      </c>
      <c r="Y34">
        <f t="shared" si="20"/>
        <v>6403</v>
      </c>
      <c r="AA34">
        <v>26994759</v>
      </c>
      <c r="AB34">
        <f t="shared" si="21"/>
        <v>26103.2</v>
      </c>
      <c r="AC34">
        <f>ROUND((SUM(SmtRes!BQ51:SmtRes!BQ58)),2)</f>
        <v>522.17</v>
      </c>
      <c r="AD34">
        <f>ROUND((SUM(SmtRes!BR51:SmtRes!BR58)),2)</f>
        <v>2382.64</v>
      </c>
      <c r="AE34">
        <f t="shared" si="22"/>
        <v>0</v>
      </c>
      <c r="AF34">
        <f>ROUND((SUM(SmtRes!BT51:SmtRes!BT58)),2)</f>
        <v>23198.39</v>
      </c>
      <c r="AG34">
        <f t="shared" si="23"/>
        <v>0</v>
      </c>
      <c r="AH34">
        <f>(SUM(SmtRes!BU51:SmtRes!BU58))</f>
        <v>173.42</v>
      </c>
      <c r="AI34">
        <f>(SUM(SmtRes!BV51:SmtRes!BV58))</f>
        <v>15.175</v>
      </c>
      <c r="AJ34">
        <f t="shared" si="24"/>
        <v>0</v>
      </c>
      <c r="AK34">
        <v>11300.402840000002</v>
      </c>
      <c r="AL34">
        <v>261.08744</v>
      </c>
      <c r="AM34">
        <v>953.0574</v>
      </c>
      <c r="AN34">
        <v>0</v>
      </c>
      <c r="AO34">
        <v>10086.258000000002</v>
      </c>
      <c r="AP34">
        <v>0</v>
      </c>
      <c r="AQ34">
        <v>75.4</v>
      </c>
      <c r="AR34">
        <v>6.07</v>
      </c>
      <c r="AS34">
        <v>0</v>
      </c>
      <c r="AT34">
        <v>80.33</v>
      </c>
      <c r="AU34">
        <v>37.4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1</v>
      </c>
      <c r="BH34">
        <v>0</v>
      </c>
      <c r="BI34">
        <v>1</v>
      </c>
      <c r="BJ34" t="s">
        <v>93</v>
      </c>
      <c r="BM34">
        <v>15001</v>
      </c>
      <c r="BN34">
        <v>0</v>
      </c>
      <c r="BP34">
        <v>0</v>
      </c>
      <c r="BQ34">
        <v>2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105</v>
      </c>
      <c r="CA34">
        <v>55</v>
      </c>
      <c r="CF34">
        <v>0</v>
      </c>
      <c r="CG34">
        <v>0</v>
      </c>
      <c r="CM34">
        <v>0</v>
      </c>
      <c r="CO34">
        <v>0</v>
      </c>
      <c r="CP34">
        <f t="shared" si="25"/>
        <v>19263</v>
      </c>
      <c r="CQ34">
        <f t="shared" si="26"/>
        <v>522.17</v>
      </c>
      <c r="CR34">
        <f t="shared" si="27"/>
        <v>2382.64</v>
      </c>
      <c r="CS34">
        <f t="shared" si="28"/>
        <v>0</v>
      </c>
      <c r="CT34">
        <f t="shared" si="29"/>
        <v>23198.39</v>
      </c>
      <c r="CU34">
        <f t="shared" si="30"/>
        <v>0</v>
      </c>
      <c r="CV34">
        <f t="shared" si="31"/>
        <v>173.42</v>
      </c>
      <c r="CW34">
        <f t="shared" si="32"/>
        <v>15.175</v>
      </c>
      <c r="CX34">
        <f t="shared" si="33"/>
        <v>0</v>
      </c>
      <c r="CY34">
        <f t="shared" si="34"/>
        <v>13752.496000000001</v>
      </c>
      <c r="CZ34">
        <f t="shared" si="35"/>
        <v>6402.88</v>
      </c>
      <c r="DD34" t="s">
        <v>46</v>
      </c>
      <c r="DE34" t="s">
        <v>47</v>
      </c>
      <c r="DF34" t="s">
        <v>47</v>
      </c>
      <c r="DG34" t="s">
        <v>48</v>
      </c>
      <c r="DI34" t="s">
        <v>48</v>
      </c>
      <c r="DJ34" t="s">
        <v>47</v>
      </c>
      <c r="DL34" t="s">
        <v>54</v>
      </c>
      <c r="DM34" t="s">
        <v>55</v>
      </c>
      <c r="DN34">
        <v>0</v>
      </c>
      <c r="DO34">
        <v>0</v>
      </c>
      <c r="DP34">
        <v>1</v>
      </c>
      <c r="DQ34">
        <v>1</v>
      </c>
      <c r="DU34">
        <v>1013</v>
      </c>
      <c r="DV34" t="s">
        <v>92</v>
      </c>
      <c r="DW34" t="s">
        <v>92</v>
      </c>
      <c r="DX34">
        <v>1</v>
      </c>
      <c r="EE34">
        <v>25701076</v>
      </c>
      <c r="EF34">
        <v>2</v>
      </c>
      <c r="EG34" t="s">
        <v>21</v>
      </c>
      <c r="EH34">
        <v>0</v>
      </c>
      <c r="EJ34">
        <v>1</v>
      </c>
      <c r="EK34">
        <v>15001</v>
      </c>
      <c r="EL34" t="s">
        <v>56</v>
      </c>
      <c r="EM34" t="s">
        <v>57</v>
      </c>
      <c r="EQ34">
        <v>0</v>
      </c>
      <c r="ER34">
        <v>1645.63</v>
      </c>
      <c r="ES34">
        <v>865.25</v>
      </c>
      <c r="ET34">
        <v>96.5</v>
      </c>
      <c r="EU34">
        <v>56.94</v>
      </c>
      <c r="EV34">
        <v>683.88</v>
      </c>
      <c r="EW34">
        <v>75.4</v>
      </c>
      <c r="EX34">
        <v>6.07</v>
      </c>
      <c r="EY34">
        <v>0</v>
      </c>
      <c r="FQ34">
        <v>0</v>
      </c>
      <c r="FR34">
        <f t="shared" si="36"/>
        <v>0</v>
      </c>
      <c r="FS34">
        <v>0</v>
      </c>
      <c r="FT34" t="s">
        <v>24</v>
      </c>
      <c r="FU34" t="s">
        <v>25</v>
      </c>
      <c r="FX34">
        <v>80.33</v>
      </c>
      <c r="FY34">
        <v>37.4</v>
      </c>
      <c r="GF34">
        <v>-1288242303</v>
      </c>
      <c r="GG34">
        <v>2</v>
      </c>
      <c r="GH34">
        <v>1</v>
      </c>
      <c r="GI34">
        <v>-2</v>
      </c>
      <c r="GJ34">
        <v>0</v>
      </c>
      <c r="GK34">
        <f>ROUND(R34*(R12)/100,0)</f>
        <v>0</v>
      </c>
      <c r="GL34">
        <f t="shared" si="37"/>
        <v>0</v>
      </c>
      <c r="GM34">
        <f t="shared" si="38"/>
        <v>39418</v>
      </c>
      <c r="GN34">
        <f t="shared" si="39"/>
        <v>39418</v>
      </c>
      <c r="GO34">
        <f t="shared" si="40"/>
        <v>0</v>
      </c>
      <c r="GP34">
        <f t="shared" si="41"/>
        <v>0</v>
      </c>
      <c r="GR34">
        <v>0</v>
      </c>
    </row>
    <row r="35" spans="1:200" ht="12.75">
      <c r="A35">
        <v>17</v>
      </c>
      <c r="B35">
        <v>1</v>
      </c>
      <c r="C35">
        <f>ROW(SmtRes!A63)</f>
        <v>63</v>
      </c>
      <c r="D35">
        <f>ROW(EtalonRes!A87)</f>
        <v>87</v>
      </c>
      <c r="E35" t="s">
        <v>94</v>
      </c>
      <c r="F35" t="s">
        <v>95</v>
      </c>
      <c r="G35" t="s">
        <v>96</v>
      </c>
      <c r="H35" t="s">
        <v>97</v>
      </c>
      <c r="I35">
        <v>0.0223</v>
      </c>
      <c r="J35">
        <v>0</v>
      </c>
      <c r="O35">
        <f t="shared" si="10"/>
        <v>11404</v>
      </c>
      <c r="P35">
        <f t="shared" si="11"/>
        <v>10414</v>
      </c>
      <c r="Q35">
        <f t="shared" si="12"/>
        <v>288</v>
      </c>
      <c r="R35">
        <f t="shared" si="13"/>
        <v>0</v>
      </c>
      <c r="S35">
        <f t="shared" si="14"/>
        <v>702</v>
      </c>
      <c r="T35">
        <f t="shared" si="15"/>
        <v>0</v>
      </c>
      <c r="U35">
        <f t="shared" si="16"/>
        <v>6.101280000000001</v>
      </c>
      <c r="V35">
        <f t="shared" si="17"/>
        <v>1.1323940000000001</v>
      </c>
      <c r="W35">
        <f t="shared" si="18"/>
        <v>0</v>
      </c>
      <c r="X35">
        <f t="shared" si="19"/>
        <v>394</v>
      </c>
      <c r="Y35">
        <f t="shared" si="20"/>
        <v>225</v>
      </c>
      <c r="AA35">
        <v>26994759</v>
      </c>
      <c r="AB35">
        <f t="shared" si="21"/>
        <v>511415.99</v>
      </c>
      <c r="AC35">
        <f>ROUND((SUM(SmtRes!BQ59:SmtRes!BQ63)),2)</f>
        <v>466982.78</v>
      </c>
      <c r="AD35">
        <f>ROUND((SUM(SmtRes!BR59:SmtRes!BR63)),2)</f>
        <v>12936.38</v>
      </c>
      <c r="AE35">
        <f t="shared" si="22"/>
        <v>0</v>
      </c>
      <c r="AF35">
        <f>ROUND((SUM(SmtRes!BT59:SmtRes!BT63)),2)</f>
        <v>31496.83</v>
      </c>
      <c r="AG35">
        <f t="shared" si="23"/>
        <v>0</v>
      </c>
      <c r="AH35">
        <f>(SUM(SmtRes!BU59:SmtRes!BU63))</f>
        <v>273.6</v>
      </c>
      <c r="AI35">
        <f>(SUM(SmtRes!BV59:SmtRes!BV63))</f>
        <v>50.78</v>
      </c>
      <c r="AJ35">
        <f t="shared" si="24"/>
        <v>0</v>
      </c>
      <c r="AK35">
        <v>511415.9912</v>
      </c>
      <c r="AL35">
        <v>466982.784</v>
      </c>
      <c r="AM35">
        <v>12936.3752</v>
      </c>
      <c r="AN35">
        <v>0</v>
      </c>
      <c r="AO35">
        <v>31496.832000000002</v>
      </c>
      <c r="AP35">
        <v>0</v>
      </c>
      <c r="AQ35">
        <v>273.6</v>
      </c>
      <c r="AR35">
        <v>50.78</v>
      </c>
      <c r="AS35">
        <v>0</v>
      </c>
      <c r="AT35">
        <v>56.1</v>
      </c>
      <c r="AU35">
        <v>32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1</v>
      </c>
      <c r="BH35">
        <v>0</v>
      </c>
      <c r="BI35">
        <v>1</v>
      </c>
      <c r="BJ35" t="s">
        <v>98</v>
      </c>
      <c r="BM35">
        <v>6003</v>
      </c>
      <c r="BN35">
        <v>0</v>
      </c>
      <c r="BP35">
        <v>0</v>
      </c>
      <c r="BQ35">
        <v>2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66</v>
      </c>
      <c r="CA35">
        <v>40</v>
      </c>
      <c r="CF35">
        <v>0</v>
      </c>
      <c r="CG35">
        <v>0</v>
      </c>
      <c r="CM35">
        <v>0</v>
      </c>
      <c r="CO35">
        <v>0</v>
      </c>
      <c r="CP35">
        <f t="shared" si="25"/>
        <v>11404</v>
      </c>
      <c r="CQ35">
        <f t="shared" si="26"/>
        <v>466982.78</v>
      </c>
      <c r="CR35">
        <f t="shared" si="27"/>
        <v>12936.38</v>
      </c>
      <c r="CS35">
        <f t="shared" si="28"/>
        <v>0</v>
      </c>
      <c r="CT35">
        <f t="shared" si="29"/>
        <v>31496.83</v>
      </c>
      <c r="CU35">
        <f t="shared" si="30"/>
        <v>0</v>
      </c>
      <c r="CV35">
        <f t="shared" si="31"/>
        <v>273.6</v>
      </c>
      <c r="CW35">
        <f t="shared" si="32"/>
        <v>50.78</v>
      </c>
      <c r="CX35">
        <f t="shared" si="33"/>
        <v>0</v>
      </c>
      <c r="CY35">
        <f>((S35+R35)*(ROUND((FX35*IF(0,(IF(0,0.94,1)*IF(0,1,1)),1)),IF(0,0,2))/100))</f>
        <v>393.82200000000006</v>
      </c>
      <c r="CZ35">
        <f>((S35+R35)*(ROUND((FY35*1),IF(0,0,2))/100))</f>
        <v>224.64000000000001</v>
      </c>
      <c r="DL35" t="s">
        <v>99</v>
      </c>
      <c r="DM35" t="s">
        <v>100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97</v>
      </c>
      <c r="DW35" t="s">
        <v>97</v>
      </c>
      <c r="DX35">
        <v>1</v>
      </c>
      <c r="EE35">
        <v>25701041</v>
      </c>
      <c r="EF35">
        <v>2</v>
      </c>
      <c r="EG35" t="s">
        <v>21</v>
      </c>
      <c r="EH35">
        <v>0</v>
      </c>
      <c r="EJ35">
        <v>1</v>
      </c>
      <c r="EK35">
        <v>6003</v>
      </c>
      <c r="EL35" t="s">
        <v>101</v>
      </c>
      <c r="EM35" t="s">
        <v>102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273.6</v>
      </c>
      <c r="EX35">
        <v>50.78</v>
      </c>
      <c r="EY35">
        <v>0</v>
      </c>
      <c r="FQ35">
        <v>0</v>
      </c>
      <c r="FR35">
        <f t="shared" si="36"/>
        <v>0</v>
      </c>
      <c r="FS35">
        <v>0</v>
      </c>
      <c r="FT35" t="s">
        <v>24</v>
      </c>
      <c r="FU35" t="s">
        <v>25</v>
      </c>
      <c r="FX35">
        <v>56.1</v>
      </c>
      <c r="FY35">
        <v>32</v>
      </c>
      <c r="GF35">
        <v>483043703</v>
      </c>
      <c r="GG35">
        <v>2</v>
      </c>
      <c r="GH35">
        <v>1</v>
      </c>
      <c r="GI35">
        <v>-2</v>
      </c>
      <c r="GJ35">
        <v>0</v>
      </c>
      <c r="GK35">
        <f>ROUND(R35*(R12)/100,0)</f>
        <v>0</v>
      </c>
      <c r="GL35">
        <f t="shared" si="37"/>
        <v>0</v>
      </c>
      <c r="GM35">
        <f t="shared" si="38"/>
        <v>12023</v>
      </c>
      <c r="GN35">
        <f t="shared" si="39"/>
        <v>12023</v>
      </c>
      <c r="GO35">
        <f t="shared" si="40"/>
        <v>0</v>
      </c>
      <c r="GP35">
        <f t="shared" si="41"/>
        <v>0</v>
      </c>
      <c r="GR35">
        <v>0</v>
      </c>
    </row>
    <row r="36" spans="1:200" ht="12.75">
      <c r="A36">
        <v>17</v>
      </c>
      <c r="B36">
        <v>1</v>
      </c>
      <c r="C36">
        <f>ROW(SmtRes!A72)</f>
        <v>72</v>
      </c>
      <c r="D36">
        <f>ROW(EtalonRes!A97)</f>
        <v>97</v>
      </c>
      <c r="E36" t="s">
        <v>103</v>
      </c>
      <c r="F36" t="s">
        <v>104</v>
      </c>
      <c r="G36" t="s">
        <v>105</v>
      </c>
      <c r="H36" t="s">
        <v>106</v>
      </c>
      <c r="I36">
        <v>0.738</v>
      </c>
      <c r="J36">
        <v>0</v>
      </c>
      <c r="O36">
        <f t="shared" si="10"/>
        <v>49351</v>
      </c>
      <c r="P36">
        <f t="shared" si="11"/>
        <v>30738</v>
      </c>
      <c r="Q36">
        <f t="shared" si="12"/>
        <v>270</v>
      </c>
      <c r="R36">
        <f t="shared" si="13"/>
        <v>0</v>
      </c>
      <c r="S36">
        <f t="shared" si="14"/>
        <v>18343</v>
      </c>
      <c r="T36">
        <f t="shared" si="15"/>
        <v>0</v>
      </c>
      <c r="U36">
        <f t="shared" si="16"/>
        <v>135.51192899999998</v>
      </c>
      <c r="V36">
        <f t="shared" si="17"/>
        <v>1.522125</v>
      </c>
      <c r="W36">
        <f t="shared" si="18"/>
        <v>0</v>
      </c>
      <c r="X36">
        <f t="shared" si="19"/>
        <v>14735</v>
      </c>
      <c r="Y36">
        <f t="shared" si="20"/>
        <v>6860</v>
      </c>
      <c r="AA36">
        <v>26994759</v>
      </c>
      <c r="AB36">
        <f t="shared" si="21"/>
        <v>66870.8</v>
      </c>
      <c r="AC36">
        <f>ROUND((SUM(SmtRes!BQ64:SmtRes!BQ72)),2)</f>
        <v>41649.82</v>
      </c>
      <c r="AD36">
        <f>ROUND((SUM(SmtRes!BR64:SmtRes!BR72)),2)</f>
        <v>366.11</v>
      </c>
      <c r="AE36">
        <f t="shared" si="22"/>
        <v>0</v>
      </c>
      <c r="AF36">
        <f>ROUND((SUM(SmtRes!BT64:SmtRes!BT72)),2)</f>
        <v>24854.87</v>
      </c>
      <c r="AG36">
        <f t="shared" si="23"/>
        <v>0</v>
      </c>
      <c r="AH36">
        <f>(SUM(SmtRes!BU64:SmtRes!BU72))</f>
        <v>183.62049999999996</v>
      </c>
      <c r="AI36">
        <f>(SUM(SmtRes!BV64:SmtRes!BV72))</f>
        <v>2.0625</v>
      </c>
      <c r="AJ36">
        <f t="shared" si="24"/>
        <v>0</v>
      </c>
      <c r="AK36">
        <v>63555.6341</v>
      </c>
      <c r="AL36">
        <v>41649.815</v>
      </c>
      <c r="AM36">
        <v>292.88790000000006</v>
      </c>
      <c r="AN36">
        <v>0</v>
      </c>
      <c r="AO36">
        <v>21612.9312</v>
      </c>
      <c r="AP36">
        <v>0</v>
      </c>
      <c r="AQ36">
        <v>159.67</v>
      </c>
      <c r="AR36">
        <v>1.65</v>
      </c>
      <c r="AS36">
        <v>0</v>
      </c>
      <c r="AT36">
        <v>80.33</v>
      </c>
      <c r="AU36">
        <v>37.4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1</v>
      </c>
      <c r="BJ36" t="s">
        <v>107</v>
      </c>
      <c r="BM36">
        <v>15001</v>
      </c>
      <c r="BN36">
        <v>0</v>
      </c>
      <c r="BP36">
        <v>0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105</v>
      </c>
      <c r="CA36">
        <v>55</v>
      </c>
      <c r="CF36">
        <v>0</v>
      </c>
      <c r="CG36">
        <v>0</v>
      </c>
      <c r="CM36">
        <v>0</v>
      </c>
      <c r="CO36">
        <v>0</v>
      </c>
      <c r="CP36">
        <f t="shared" si="25"/>
        <v>49351</v>
      </c>
      <c r="CQ36">
        <f t="shared" si="26"/>
        <v>41649.82</v>
      </c>
      <c r="CR36">
        <f t="shared" si="27"/>
        <v>366.11</v>
      </c>
      <c r="CS36">
        <f t="shared" si="28"/>
        <v>0</v>
      </c>
      <c r="CT36">
        <f t="shared" si="29"/>
        <v>24854.87</v>
      </c>
      <c r="CU36">
        <f t="shared" si="30"/>
        <v>0</v>
      </c>
      <c r="CV36">
        <f t="shared" si="31"/>
        <v>183.62049999999996</v>
      </c>
      <c r="CW36">
        <f t="shared" si="32"/>
        <v>2.0625</v>
      </c>
      <c r="CX36">
        <f t="shared" si="33"/>
        <v>0</v>
      </c>
      <c r="CY36">
        <f>((S36+R36)*(ROUND((FX36*IF(0,(IF(0,0.94,0.85)*IF(0,0.85,1)),1)),IF(0,0,2))/100))</f>
        <v>14734.9319</v>
      </c>
      <c r="CZ36">
        <f>((S36+R36)*(ROUND((FY36*IF(0,0.8,1)),IF(0,0,2))/100))</f>
        <v>6860.282</v>
      </c>
      <c r="DE36" t="s">
        <v>17</v>
      </c>
      <c r="DF36" t="s">
        <v>17</v>
      </c>
      <c r="DG36" t="s">
        <v>18</v>
      </c>
      <c r="DI36" t="s">
        <v>18</v>
      </c>
      <c r="DJ36" t="s">
        <v>17</v>
      </c>
      <c r="DL36" t="s">
        <v>54</v>
      </c>
      <c r="DM36" t="s">
        <v>55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106</v>
      </c>
      <c r="DW36" t="s">
        <v>106</v>
      </c>
      <c r="DX36">
        <v>1</v>
      </c>
      <c r="EE36">
        <v>25701076</v>
      </c>
      <c r="EF36">
        <v>2</v>
      </c>
      <c r="EG36" t="s">
        <v>21</v>
      </c>
      <c r="EH36">
        <v>0</v>
      </c>
      <c r="EJ36">
        <v>1</v>
      </c>
      <c r="EK36">
        <v>15001</v>
      </c>
      <c r="EL36" t="s">
        <v>56</v>
      </c>
      <c r="EM36" t="s">
        <v>57</v>
      </c>
      <c r="EQ36">
        <v>0</v>
      </c>
      <c r="ER36">
        <v>10688.2</v>
      </c>
      <c r="ES36">
        <v>9190.68</v>
      </c>
      <c r="ET36">
        <v>31.75</v>
      </c>
      <c r="EU36">
        <v>17.52</v>
      </c>
      <c r="EV36">
        <v>1465.77</v>
      </c>
      <c r="EW36">
        <v>159.67</v>
      </c>
      <c r="EX36">
        <v>1.65</v>
      </c>
      <c r="EY36">
        <v>0</v>
      </c>
      <c r="FQ36">
        <v>0</v>
      </c>
      <c r="FR36">
        <f t="shared" si="36"/>
        <v>0</v>
      </c>
      <c r="FS36">
        <v>0</v>
      </c>
      <c r="FT36" t="s">
        <v>24</v>
      </c>
      <c r="FU36" t="s">
        <v>25</v>
      </c>
      <c r="FX36">
        <v>80.33</v>
      </c>
      <c r="FY36">
        <v>37.4</v>
      </c>
      <c r="GF36">
        <v>-1770290407</v>
      </c>
      <c r="GG36">
        <v>2</v>
      </c>
      <c r="GH36">
        <v>0</v>
      </c>
      <c r="GI36">
        <v>-2</v>
      </c>
      <c r="GJ36">
        <v>0</v>
      </c>
      <c r="GK36">
        <f>ROUND(R36*(R12)/100,0)</f>
        <v>0</v>
      </c>
      <c r="GL36">
        <f t="shared" si="37"/>
        <v>0</v>
      </c>
      <c r="GM36">
        <f t="shared" si="38"/>
        <v>70946</v>
      </c>
      <c r="GN36">
        <f t="shared" si="39"/>
        <v>70946</v>
      </c>
      <c r="GO36">
        <f t="shared" si="40"/>
        <v>0</v>
      </c>
      <c r="GP36">
        <f t="shared" si="41"/>
        <v>0</v>
      </c>
      <c r="GR36">
        <v>0</v>
      </c>
    </row>
    <row r="37" spans="1:200" ht="12.75">
      <c r="A37">
        <v>17</v>
      </c>
      <c r="B37">
        <v>1</v>
      </c>
      <c r="C37">
        <f>ROW(SmtRes!A78)</f>
        <v>78</v>
      </c>
      <c r="D37">
        <f>ROW(EtalonRes!A103)</f>
        <v>103</v>
      </c>
      <c r="E37" t="s">
        <v>108</v>
      </c>
      <c r="F37" t="s">
        <v>109</v>
      </c>
      <c r="G37" t="s">
        <v>74</v>
      </c>
      <c r="H37" t="s">
        <v>52</v>
      </c>
      <c r="I37">
        <v>0.502</v>
      </c>
      <c r="J37">
        <v>0</v>
      </c>
      <c r="O37">
        <f t="shared" si="10"/>
        <v>870</v>
      </c>
      <c r="P37">
        <f t="shared" si="11"/>
        <v>328</v>
      </c>
      <c r="Q37">
        <f t="shared" si="12"/>
        <v>6</v>
      </c>
      <c r="R37">
        <f t="shared" si="13"/>
        <v>0</v>
      </c>
      <c r="S37">
        <f t="shared" si="14"/>
        <v>536</v>
      </c>
      <c r="T37">
        <f t="shared" si="15"/>
        <v>0</v>
      </c>
      <c r="U37">
        <f t="shared" si="16"/>
        <v>3.7813149999999993</v>
      </c>
      <c r="V37">
        <f t="shared" si="17"/>
        <v>0.006275</v>
      </c>
      <c r="W37">
        <f t="shared" si="18"/>
        <v>0</v>
      </c>
      <c r="X37">
        <f t="shared" si="19"/>
        <v>431</v>
      </c>
      <c r="Y37">
        <f t="shared" si="20"/>
        <v>200</v>
      </c>
      <c r="AA37">
        <v>26994759</v>
      </c>
      <c r="AB37">
        <f t="shared" si="21"/>
        <v>1733.43</v>
      </c>
      <c r="AC37">
        <f>ROUND((SUM(SmtRes!BQ73:SmtRes!BQ78)),2)</f>
        <v>653.37</v>
      </c>
      <c r="AD37">
        <f>ROUND((SUM(SmtRes!BR73:SmtRes!BR78)),2)</f>
        <v>11.73</v>
      </c>
      <c r="AE37">
        <f t="shared" si="22"/>
        <v>0</v>
      </c>
      <c r="AF37">
        <f>ROUND((SUM(SmtRes!BT73:SmtRes!BT78)),2)</f>
        <v>1068.33</v>
      </c>
      <c r="AG37">
        <f t="shared" si="23"/>
        <v>0</v>
      </c>
      <c r="AH37">
        <f>(SUM(SmtRes!BU73:SmtRes!BU78))</f>
        <v>7.532499999999999</v>
      </c>
      <c r="AI37">
        <f>(SUM(SmtRes!BV73:SmtRes!BV78))</f>
        <v>0.0125</v>
      </c>
      <c r="AJ37">
        <f t="shared" si="24"/>
        <v>0</v>
      </c>
      <c r="AK37">
        <v>1591.74033</v>
      </c>
      <c r="AL37">
        <v>653.37313</v>
      </c>
      <c r="AM37">
        <v>9.3807</v>
      </c>
      <c r="AN37">
        <v>0</v>
      </c>
      <c r="AO37">
        <v>928.9865000000001</v>
      </c>
      <c r="AP37">
        <v>0</v>
      </c>
      <c r="AQ37">
        <v>6.55</v>
      </c>
      <c r="AR37">
        <v>0.01</v>
      </c>
      <c r="AS37">
        <v>0</v>
      </c>
      <c r="AT37">
        <v>80.33</v>
      </c>
      <c r="AU37">
        <v>37.4</v>
      </c>
      <c r="AV37">
        <v>1</v>
      </c>
      <c r="AW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1</v>
      </c>
      <c r="BJ37" t="s">
        <v>75</v>
      </c>
      <c r="BM37">
        <v>15001</v>
      </c>
      <c r="BN37">
        <v>0</v>
      </c>
      <c r="BP37">
        <v>0</v>
      </c>
      <c r="BQ37">
        <v>2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105</v>
      </c>
      <c r="CA37">
        <v>55</v>
      </c>
      <c r="CF37">
        <v>0</v>
      </c>
      <c r="CG37">
        <v>0</v>
      </c>
      <c r="CM37">
        <v>0</v>
      </c>
      <c r="CO37">
        <v>0</v>
      </c>
      <c r="CP37">
        <f t="shared" si="25"/>
        <v>870</v>
      </c>
      <c r="CQ37">
        <f t="shared" si="26"/>
        <v>653.37</v>
      </c>
      <c r="CR37">
        <f t="shared" si="27"/>
        <v>11.73</v>
      </c>
      <c r="CS37">
        <f t="shared" si="28"/>
        <v>0</v>
      </c>
      <c r="CT37">
        <f t="shared" si="29"/>
        <v>1068.33</v>
      </c>
      <c r="CU37">
        <f t="shared" si="30"/>
        <v>0</v>
      </c>
      <c r="CV37">
        <f t="shared" si="31"/>
        <v>7.532499999999999</v>
      </c>
      <c r="CW37">
        <f t="shared" si="32"/>
        <v>0.0125</v>
      </c>
      <c r="CX37">
        <f t="shared" si="33"/>
        <v>0</v>
      </c>
      <c r="CY37">
        <f>((S37+R37)*(ROUND((FX37*IF(0,(IF(0,0.94,0.85)*IF(0,0.85,1)),1)),IF(0,0,2))/100))</f>
        <v>430.5688</v>
      </c>
      <c r="CZ37">
        <f>((S37+R37)*(ROUND((FY37*IF(0,0.8,1)),IF(0,0,2))/100))</f>
        <v>200.464</v>
      </c>
      <c r="DE37" t="s">
        <v>17</v>
      </c>
      <c r="DF37" t="s">
        <v>17</v>
      </c>
      <c r="DG37" t="s">
        <v>18</v>
      </c>
      <c r="DI37" t="s">
        <v>18</v>
      </c>
      <c r="DJ37" t="s">
        <v>17</v>
      </c>
      <c r="DL37" t="s">
        <v>54</v>
      </c>
      <c r="DM37" t="s">
        <v>55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52</v>
      </c>
      <c r="DW37" t="s">
        <v>52</v>
      </c>
      <c r="DX37">
        <v>1</v>
      </c>
      <c r="EE37">
        <v>25701076</v>
      </c>
      <c r="EF37">
        <v>2</v>
      </c>
      <c r="EG37" t="s">
        <v>21</v>
      </c>
      <c r="EH37">
        <v>0</v>
      </c>
      <c r="EJ37">
        <v>1</v>
      </c>
      <c r="EK37">
        <v>15001</v>
      </c>
      <c r="EL37" t="s">
        <v>56</v>
      </c>
      <c r="EM37" t="s">
        <v>57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6.55</v>
      </c>
      <c r="EX37">
        <v>0.01</v>
      </c>
      <c r="EY37">
        <v>0</v>
      </c>
      <c r="FQ37">
        <v>0</v>
      </c>
      <c r="FR37">
        <f t="shared" si="36"/>
        <v>0</v>
      </c>
      <c r="FS37">
        <v>0</v>
      </c>
      <c r="FT37" t="s">
        <v>24</v>
      </c>
      <c r="FU37" t="s">
        <v>25</v>
      </c>
      <c r="FX37">
        <v>80.33</v>
      </c>
      <c r="FY37">
        <v>37.4</v>
      </c>
      <c r="GF37">
        <v>1709552915</v>
      </c>
      <c r="GG37">
        <v>2</v>
      </c>
      <c r="GH37">
        <v>1</v>
      </c>
      <c r="GI37">
        <v>-2</v>
      </c>
      <c r="GJ37">
        <v>0</v>
      </c>
      <c r="GK37">
        <f>ROUND(R37*(R12)/100,0)</f>
        <v>0</v>
      </c>
      <c r="GL37">
        <f t="shared" si="37"/>
        <v>0</v>
      </c>
      <c r="GM37">
        <f t="shared" si="38"/>
        <v>1501</v>
      </c>
      <c r="GN37">
        <f t="shared" si="39"/>
        <v>1501</v>
      </c>
      <c r="GO37">
        <f t="shared" si="40"/>
        <v>0</v>
      </c>
      <c r="GP37">
        <f t="shared" si="41"/>
        <v>0</v>
      </c>
      <c r="GR37">
        <v>0</v>
      </c>
    </row>
    <row r="38" spans="1:200" ht="12.75">
      <c r="A38">
        <v>17</v>
      </c>
      <c r="B38">
        <v>1</v>
      </c>
      <c r="C38">
        <f>ROW(SmtRes!A85)</f>
        <v>85</v>
      </c>
      <c r="D38">
        <f>ROW(EtalonRes!A111)</f>
        <v>111</v>
      </c>
      <c r="E38" t="s">
        <v>110</v>
      </c>
      <c r="F38" t="s">
        <v>111</v>
      </c>
      <c r="G38" t="s">
        <v>112</v>
      </c>
      <c r="H38" t="s">
        <v>92</v>
      </c>
      <c r="I38">
        <v>0.502</v>
      </c>
      <c r="J38">
        <v>0</v>
      </c>
      <c r="O38">
        <f t="shared" si="10"/>
        <v>9511</v>
      </c>
      <c r="P38">
        <f t="shared" si="11"/>
        <v>5268</v>
      </c>
      <c r="Q38">
        <f t="shared" si="12"/>
        <v>188</v>
      </c>
      <c r="R38">
        <f t="shared" si="13"/>
        <v>0</v>
      </c>
      <c r="S38">
        <f t="shared" si="14"/>
        <v>4055</v>
      </c>
      <c r="T38">
        <f t="shared" si="15"/>
        <v>0</v>
      </c>
      <c r="U38">
        <f t="shared" si="16"/>
        <v>29.956097</v>
      </c>
      <c r="V38">
        <f t="shared" si="17"/>
        <v>1.1734250000000002</v>
      </c>
      <c r="W38">
        <f t="shared" si="18"/>
        <v>0</v>
      </c>
      <c r="X38">
        <f t="shared" si="19"/>
        <v>3257</v>
      </c>
      <c r="Y38">
        <f t="shared" si="20"/>
        <v>1517</v>
      </c>
      <c r="AA38">
        <v>26994759</v>
      </c>
      <c r="AB38">
        <f t="shared" si="21"/>
        <v>18945.96</v>
      </c>
      <c r="AC38">
        <f>ROUND((SUM(SmtRes!BQ79:SmtRes!BQ85)),2)</f>
        <v>10494.35</v>
      </c>
      <c r="AD38">
        <f>ROUND((SUM(SmtRes!BR79:SmtRes!BR85)),2)</f>
        <v>374.21</v>
      </c>
      <c r="AE38">
        <f t="shared" si="22"/>
        <v>0</v>
      </c>
      <c r="AF38">
        <f>ROUND((SUM(SmtRes!BT79:SmtRes!BT85)),2)</f>
        <v>8077.4</v>
      </c>
      <c r="AG38">
        <f t="shared" si="23"/>
        <v>0</v>
      </c>
      <c r="AH38">
        <f>(SUM(SmtRes!BU79:SmtRes!BU85))</f>
        <v>59.6735</v>
      </c>
      <c r="AI38">
        <f>(SUM(SmtRes!BV79:SmtRes!BV85))</f>
        <v>2.3375000000000004</v>
      </c>
      <c r="AJ38">
        <f t="shared" si="24"/>
        <v>0</v>
      </c>
      <c r="AK38">
        <v>17817.554</v>
      </c>
      <c r="AL38">
        <v>10494.352799999999</v>
      </c>
      <c r="AM38">
        <v>299.3708</v>
      </c>
      <c r="AN38">
        <v>0</v>
      </c>
      <c r="AO38">
        <v>7023.830400000001</v>
      </c>
      <c r="AP38">
        <v>0</v>
      </c>
      <c r="AQ38">
        <v>51.89</v>
      </c>
      <c r="AR38">
        <v>1.87</v>
      </c>
      <c r="AS38">
        <v>0</v>
      </c>
      <c r="AT38">
        <v>80.33</v>
      </c>
      <c r="AU38">
        <v>37.4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1</v>
      </c>
      <c r="BJ38" t="s">
        <v>113</v>
      </c>
      <c r="BM38">
        <v>15001</v>
      </c>
      <c r="BN38">
        <v>0</v>
      </c>
      <c r="BP38">
        <v>0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105</v>
      </c>
      <c r="CA38">
        <v>55</v>
      </c>
      <c r="CF38">
        <v>0</v>
      </c>
      <c r="CG38">
        <v>0</v>
      </c>
      <c r="CM38">
        <v>0</v>
      </c>
      <c r="CO38">
        <v>0</v>
      </c>
      <c r="CP38">
        <f t="shared" si="25"/>
        <v>9511</v>
      </c>
      <c r="CQ38">
        <f t="shared" si="26"/>
        <v>10494.35</v>
      </c>
      <c r="CR38">
        <f t="shared" si="27"/>
        <v>374.21</v>
      </c>
      <c r="CS38">
        <f t="shared" si="28"/>
        <v>0</v>
      </c>
      <c r="CT38">
        <f t="shared" si="29"/>
        <v>8077.4</v>
      </c>
      <c r="CU38">
        <f t="shared" si="30"/>
        <v>0</v>
      </c>
      <c r="CV38">
        <f t="shared" si="31"/>
        <v>59.6735</v>
      </c>
      <c r="CW38">
        <f t="shared" si="32"/>
        <v>2.3375000000000004</v>
      </c>
      <c r="CX38">
        <f t="shared" si="33"/>
        <v>0</v>
      </c>
      <c r="CY38">
        <f>((S38+R38)*(ROUND((FX38*IF(0,(IF(0,0.94,0.85)*IF(0,0.85,1)),1)),IF(0,0,2))/100))</f>
        <v>3257.3815</v>
      </c>
      <c r="CZ38">
        <f>((S38+R38)*(ROUND((FY38*IF(0,0.8,1)),IF(0,0,2))/100))</f>
        <v>1516.57</v>
      </c>
      <c r="DE38" t="s">
        <v>17</v>
      </c>
      <c r="DF38" t="s">
        <v>17</v>
      </c>
      <c r="DG38" t="s">
        <v>18</v>
      </c>
      <c r="DI38" t="s">
        <v>18</v>
      </c>
      <c r="DJ38" t="s">
        <v>17</v>
      </c>
      <c r="DL38" t="s">
        <v>54</v>
      </c>
      <c r="DM38" t="s">
        <v>55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92</v>
      </c>
      <c r="DW38" t="s">
        <v>92</v>
      </c>
      <c r="DX38">
        <v>1</v>
      </c>
      <c r="EE38">
        <v>25701076</v>
      </c>
      <c r="EF38">
        <v>2</v>
      </c>
      <c r="EG38" t="s">
        <v>21</v>
      </c>
      <c r="EH38">
        <v>0</v>
      </c>
      <c r="EJ38">
        <v>1</v>
      </c>
      <c r="EK38">
        <v>15001</v>
      </c>
      <c r="EL38" t="s">
        <v>56</v>
      </c>
      <c r="EM38" t="s">
        <v>57</v>
      </c>
      <c r="EQ38">
        <v>0</v>
      </c>
      <c r="ER38">
        <v>2932.18</v>
      </c>
      <c r="ES38">
        <v>2426.54</v>
      </c>
      <c r="ET38">
        <v>29.29</v>
      </c>
      <c r="EU38">
        <v>19.35</v>
      </c>
      <c r="EV38">
        <v>476.35</v>
      </c>
      <c r="EW38">
        <v>51.89</v>
      </c>
      <c r="EX38">
        <v>1.87</v>
      </c>
      <c r="EY38">
        <v>0</v>
      </c>
      <c r="FQ38">
        <v>0</v>
      </c>
      <c r="FR38">
        <f t="shared" si="36"/>
        <v>0</v>
      </c>
      <c r="FS38">
        <v>0</v>
      </c>
      <c r="FT38" t="s">
        <v>24</v>
      </c>
      <c r="FU38" t="s">
        <v>25</v>
      </c>
      <c r="FX38">
        <v>80.33</v>
      </c>
      <c r="FY38">
        <v>37.4</v>
      </c>
      <c r="GF38">
        <v>1163202858</v>
      </c>
      <c r="GG38">
        <v>2</v>
      </c>
      <c r="GH38">
        <v>1</v>
      </c>
      <c r="GI38">
        <v>-2</v>
      </c>
      <c r="GJ38">
        <v>0</v>
      </c>
      <c r="GK38">
        <f>ROUND(R38*(R12)/100,0)</f>
        <v>0</v>
      </c>
      <c r="GL38">
        <f t="shared" si="37"/>
        <v>0</v>
      </c>
      <c r="GM38">
        <f t="shared" si="38"/>
        <v>14285</v>
      </c>
      <c r="GN38">
        <f t="shared" si="39"/>
        <v>14285</v>
      </c>
      <c r="GO38">
        <f t="shared" si="40"/>
        <v>0</v>
      </c>
      <c r="GP38">
        <f t="shared" si="41"/>
        <v>0</v>
      </c>
      <c r="GR38">
        <v>0</v>
      </c>
    </row>
    <row r="39" spans="1:200" ht="12.75">
      <c r="A39">
        <v>17</v>
      </c>
      <c r="B39">
        <v>1</v>
      </c>
      <c r="C39">
        <f>ROW(SmtRes!A90)</f>
        <v>90</v>
      </c>
      <c r="D39">
        <f>ROW(EtalonRes!A117)</f>
        <v>117</v>
      </c>
      <c r="E39" t="s">
        <v>114</v>
      </c>
      <c r="F39" t="s">
        <v>115</v>
      </c>
      <c r="G39" t="s">
        <v>116</v>
      </c>
      <c r="H39" t="s">
        <v>117</v>
      </c>
      <c r="I39">
        <v>0.047</v>
      </c>
      <c r="J39">
        <v>0</v>
      </c>
      <c r="O39">
        <f t="shared" si="10"/>
        <v>2395</v>
      </c>
      <c r="P39">
        <f t="shared" si="11"/>
        <v>0</v>
      </c>
      <c r="Q39">
        <f t="shared" si="12"/>
        <v>13</v>
      </c>
      <c r="R39">
        <f t="shared" si="13"/>
        <v>0</v>
      </c>
      <c r="S39">
        <f t="shared" si="14"/>
        <v>2382</v>
      </c>
      <c r="T39">
        <f t="shared" si="15"/>
        <v>0</v>
      </c>
      <c r="U39">
        <f t="shared" si="16"/>
        <v>18.00382</v>
      </c>
      <c r="V39">
        <f t="shared" si="17"/>
        <v>0.05452</v>
      </c>
      <c r="W39">
        <f t="shared" si="18"/>
        <v>0</v>
      </c>
      <c r="X39">
        <f t="shared" si="19"/>
        <v>1600</v>
      </c>
      <c r="Y39">
        <f t="shared" si="20"/>
        <v>953</v>
      </c>
      <c r="AA39">
        <v>26994759</v>
      </c>
      <c r="AB39">
        <f t="shared" si="21"/>
        <v>50961.26</v>
      </c>
      <c r="AC39">
        <f>ROUND((0),2)</f>
        <v>0</v>
      </c>
      <c r="AD39">
        <f>ROUND((SUM(SmtRes!BR86:SmtRes!BR90)),2)</f>
        <v>286.25</v>
      </c>
      <c r="AE39">
        <f t="shared" si="22"/>
        <v>0</v>
      </c>
      <c r="AF39">
        <f>ROUND((SUM(SmtRes!BT86:SmtRes!BT90)),2)</f>
        <v>50675.01</v>
      </c>
      <c r="AG39">
        <f t="shared" si="23"/>
        <v>0</v>
      </c>
      <c r="AH39">
        <f>(SUM(SmtRes!BU86:SmtRes!BU90))</f>
        <v>383.06</v>
      </c>
      <c r="AI39">
        <f>(SUM(SmtRes!BV86:SmtRes!BV90))</f>
        <v>1.16</v>
      </c>
      <c r="AJ39">
        <f t="shared" si="24"/>
        <v>0</v>
      </c>
      <c r="AK39">
        <v>50961.260599999994</v>
      </c>
      <c r="AL39">
        <v>0</v>
      </c>
      <c r="AM39">
        <v>286.2532</v>
      </c>
      <c r="AN39">
        <v>0</v>
      </c>
      <c r="AO39">
        <v>50675.007399999995</v>
      </c>
      <c r="AP39">
        <v>0</v>
      </c>
      <c r="AQ39">
        <v>383.06</v>
      </c>
      <c r="AR39">
        <v>1.16</v>
      </c>
      <c r="AS39">
        <v>0</v>
      </c>
      <c r="AT39">
        <v>67.15</v>
      </c>
      <c r="AU39">
        <v>40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v>1</v>
      </c>
      <c r="BH39">
        <v>0</v>
      </c>
      <c r="BI39">
        <v>1</v>
      </c>
      <c r="BJ39" t="s">
        <v>118</v>
      </c>
      <c r="BM39">
        <v>61001</v>
      </c>
      <c r="BN39">
        <v>0</v>
      </c>
      <c r="BP39">
        <v>0</v>
      </c>
      <c r="BQ39">
        <v>6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79</v>
      </c>
      <c r="CA39">
        <v>50</v>
      </c>
      <c r="CF39">
        <v>0</v>
      </c>
      <c r="CG39">
        <v>0</v>
      </c>
      <c r="CM39">
        <v>0</v>
      </c>
      <c r="CO39">
        <v>0</v>
      </c>
      <c r="CP39">
        <f t="shared" si="25"/>
        <v>2395</v>
      </c>
      <c r="CQ39">
        <f t="shared" si="26"/>
        <v>0</v>
      </c>
      <c r="CR39">
        <f t="shared" si="27"/>
        <v>286.25</v>
      </c>
      <c r="CS39">
        <f t="shared" si="28"/>
        <v>0</v>
      </c>
      <c r="CT39">
        <f t="shared" si="29"/>
        <v>50675.01</v>
      </c>
      <c r="CU39">
        <f t="shared" si="30"/>
        <v>0</v>
      </c>
      <c r="CV39">
        <f t="shared" si="31"/>
        <v>383.06</v>
      </c>
      <c r="CW39">
        <f t="shared" si="32"/>
        <v>1.16</v>
      </c>
      <c r="CX39">
        <f t="shared" si="33"/>
        <v>0</v>
      </c>
      <c r="CY39">
        <f>((S39+R39)*(ROUND((FX39*IF(0,(IF(0,0.94,0.85)*IF(0,0.85,1)),1)),IF(0,0,2))/100))</f>
        <v>1599.5130000000001</v>
      </c>
      <c r="CZ39">
        <f>((S39+R39)*(ROUND((FY39*IF(0,0.8,1)),IF(0,0,2))/100))</f>
        <v>952.8000000000001</v>
      </c>
      <c r="DL39" t="s">
        <v>85</v>
      </c>
      <c r="DM39" t="s">
        <v>86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117</v>
      </c>
      <c r="DW39" t="s">
        <v>117</v>
      </c>
      <c r="DX39">
        <v>1</v>
      </c>
      <c r="EE39">
        <v>25701130</v>
      </c>
      <c r="EF39">
        <v>6</v>
      </c>
      <c r="EG39" t="s">
        <v>64</v>
      </c>
      <c r="EH39">
        <v>0</v>
      </c>
      <c r="EJ39">
        <v>1</v>
      </c>
      <c r="EK39">
        <v>61001</v>
      </c>
      <c r="EL39" t="s">
        <v>87</v>
      </c>
      <c r="EM39" t="s">
        <v>88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383.06</v>
      </c>
      <c r="EX39">
        <v>1.16</v>
      </c>
      <c r="EY39">
        <v>0</v>
      </c>
      <c r="FQ39">
        <v>0</v>
      </c>
      <c r="FR39">
        <f t="shared" si="36"/>
        <v>0</v>
      </c>
      <c r="FS39">
        <v>0</v>
      </c>
      <c r="FX39">
        <v>67.15</v>
      </c>
      <c r="FY39">
        <v>40</v>
      </c>
      <c r="GF39">
        <v>24742197</v>
      </c>
      <c r="GG39">
        <v>2</v>
      </c>
      <c r="GH39">
        <v>1</v>
      </c>
      <c r="GI39">
        <v>-2</v>
      </c>
      <c r="GJ39">
        <v>0</v>
      </c>
      <c r="GK39">
        <f>ROUND(R39*(R12)/100,0)</f>
        <v>0</v>
      </c>
      <c r="GL39">
        <f t="shared" si="37"/>
        <v>0</v>
      </c>
      <c r="GM39">
        <f t="shared" si="38"/>
        <v>4948</v>
      </c>
      <c r="GN39">
        <f t="shared" si="39"/>
        <v>4948</v>
      </c>
      <c r="GO39">
        <f t="shared" si="40"/>
        <v>0</v>
      </c>
      <c r="GP39">
        <f t="shared" si="41"/>
        <v>0</v>
      </c>
      <c r="GR39">
        <v>0</v>
      </c>
    </row>
    <row r="40" spans="1:200" ht="12.75">
      <c r="A40">
        <v>17</v>
      </c>
      <c r="B40">
        <v>1</v>
      </c>
      <c r="C40">
        <f>ROW(SmtRes!A95)</f>
        <v>95</v>
      </c>
      <c r="D40">
        <f>ROW(EtalonRes!A125)</f>
        <v>125</v>
      </c>
      <c r="E40" t="s">
        <v>119</v>
      </c>
      <c r="F40" t="s">
        <v>95</v>
      </c>
      <c r="G40" t="s">
        <v>96</v>
      </c>
      <c r="H40" t="s">
        <v>97</v>
      </c>
      <c r="I40">
        <v>0.0021</v>
      </c>
      <c r="J40">
        <v>0</v>
      </c>
      <c r="O40">
        <f t="shared" si="10"/>
        <v>1074</v>
      </c>
      <c r="P40">
        <f t="shared" si="11"/>
        <v>981</v>
      </c>
      <c r="Q40">
        <f t="shared" si="12"/>
        <v>27</v>
      </c>
      <c r="R40">
        <f t="shared" si="13"/>
        <v>0</v>
      </c>
      <c r="S40">
        <f t="shared" si="14"/>
        <v>66</v>
      </c>
      <c r="T40">
        <f t="shared" si="15"/>
        <v>0</v>
      </c>
      <c r="U40">
        <f t="shared" si="16"/>
        <v>0.57456</v>
      </c>
      <c r="V40">
        <f t="shared" si="17"/>
        <v>0.106638</v>
      </c>
      <c r="W40">
        <f t="shared" si="18"/>
        <v>0</v>
      </c>
      <c r="X40">
        <f t="shared" si="19"/>
        <v>37</v>
      </c>
      <c r="Y40">
        <f t="shared" si="20"/>
        <v>21</v>
      </c>
      <c r="AA40">
        <v>26994759</v>
      </c>
      <c r="AB40">
        <f t="shared" si="21"/>
        <v>511415.99</v>
      </c>
      <c r="AC40">
        <f>ROUND((SUM(SmtRes!BQ91:SmtRes!BQ95)),2)</f>
        <v>466982.78</v>
      </c>
      <c r="AD40">
        <f>ROUND((SUM(SmtRes!BR91:SmtRes!BR95)),2)</f>
        <v>12936.38</v>
      </c>
      <c r="AE40">
        <f t="shared" si="22"/>
        <v>0</v>
      </c>
      <c r="AF40">
        <f>ROUND((SUM(SmtRes!BT91:SmtRes!BT95)),2)</f>
        <v>31496.83</v>
      </c>
      <c r="AG40">
        <f t="shared" si="23"/>
        <v>0</v>
      </c>
      <c r="AH40">
        <f>(SUM(SmtRes!BU91:SmtRes!BU95))</f>
        <v>273.6</v>
      </c>
      <c r="AI40">
        <f>(SUM(SmtRes!BV91:SmtRes!BV95))</f>
        <v>50.78</v>
      </c>
      <c r="AJ40">
        <f t="shared" si="24"/>
        <v>0</v>
      </c>
      <c r="AK40">
        <v>511415.9912</v>
      </c>
      <c r="AL40">
        <v>466982.784</v>
      </c>
      <c r="AM40">
        <v>12936.3752</v>
      </c>
      <c r="AN40">
        <v>0</v>
      </c>
      <c r="AO40">
        <v>31496.832000000002</v>
      </c>
      <c r="AP40">
        <v>0</v>
      </c>
      <c r="AQ40">
        <v>273.6</v>
      </c>
      <c r="AR40">
        <v>50.78</v>
      </c>
      <c r="AS40">
        <v>0</v>
      </c>
      <c r="AT40">
        <v>56.1</v>
      </c>
      <c r="AU40">
        <v>32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1</v>
      </c>
      <c r="BJ40" t="s">
        <v>98</v>
      </c>
      <c r="BM40">
        <v>6003</v>
      </c>
      <c r="BN40">
        <v>0</v>
      </c>
      <c r="BP40">
        <v>0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66</v>
      </c>
      <c r="CA40">
        <v>40</v>
      </c>
      <c r="CF40">
        <v>0</v>
      </c>
      <c r="CG40">
        <v>0</v>
      </c>
      <c r="CM40">
        <v>0</v>
      </c>
      <c r="CO40">
        <v>0</v>
      </c>
      <c r="CP40">
        <f t="shared" si="25"/>
        <v>1074</v>
      </c>
      <c r="CQ40">
        <f t="shared" si="26"/>
        <v>466982.78</v>
      </c>
      <c r="CR40">
        <f t="shared" si="27"/>
        <v>12936.38</v>
      </c>
      <c r="CS40">
        <f t="shared" si="28"/>
        <v>0</v>
      </c>
      <c r="CT40">
        <f t="shared" si="29"/>
        <v>31496.83</v>
      </c>
      <c r="CU40">
        <f t="shared" si="30"/>
        <v>0</v>
      </c>
      <c r="CV40">
        <f t="shared" si="31"/>
        <v>273.6</v>
      </c>
      <c r="CW40">
        <f t="shared" si="32"/>
        <v>50.78</v>
      </c>
      <c r="CX40">
        <f t="shared" si="33"/>
        <v>0</v>
      </c>
      <c r="CY40">
        <f>((S40+R40)*(ROUND((FX40*IF(0,(IF(0,0.94,1)*IF(0,1,1)),1)),IF(0,0,2))/100))</f>
        <v>37.026</v>
      </c>
      <c r="CZ40">
        <f>((S40+R40)*(ROUND((FY40*1),IF(0,0,2))/100))</f>
        <v>21.12</v>
      </c>
      <c r="DL40" t="s">
        <v>99</v>
      </c>
      <c r="DM40" t="s">
        <v>100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97</v>
      </c>
      <c r="DW40" t="s">
        <v>97</v>
      </c>
      <c r="DX40">
        <v>1</v>
      </c>
      <c r="EE40">
        <v>25701041</v>
      </c>
      <c r="EF40">
        <v>2</v>
      </c>
      <c r="EG40" t="s">
        <v>21</v>
      </c>
      <c r="EH40">
        <v>0</v>
      </c>
      <c r="EJ40">
        <v>1</v>
      </c>
      <c r="EK40">
        <v>6003</v>
      </c>
      <c r="EL40" t="s">
        <v>101</v>
      </c>
      <c r="EM40" t="s">
        <v>102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273.6</v>
      </c>
      <c r="EX40">
        <v>50.78</v>
      </c>
      <c r="EY40">
        <v>0</v>
      </c>
      <c r="FQ40">
        <v>0</v>
      </c>
      <c r="FR40">
        <f t="shared" si="36"/>
        <v>0</v>
      </c>
      <c r="FS40">
        <v>0</v>
      </c>
      <c r="FT40" t="s">
        <v>24</v>
      </c>
      <c r="FU40" t="s">
        <v>25</v>
      </c>
      <c r="FX40">
        <v>56.1</v>
      </c>
      <c r="FY40">
        <v>32</v>
      </c>
      <c r="GF40">
        <v>483043703</v>
      </c>
      <c r="GG40">
        <v>2</v>
      </c>
      <c r="GH40">
        <v>1</v>
      </c>
      <c r="GI40">
        <v>-2</v>
      </c>
      <c r="GJ40">
        <v>0</v>
      </c>
      <c r="GK40">
        <f>ROUND(R40*(R12)/100,0)</f>
        <v>0</v>
      </c>
      <c r="GL40">
        <f t="shared" si="37"/>
        <v>0</v>
      </c>
      <c r="GM40">
        <f t="shared" si="38"/>
        <v>1132</v>
      </c>
      <c r="GN40">
        <f t="shared" si="39"/>
        <v>1132</v>
      </c>
      <c r="GO40">
        <f t="shared" si="40"/>
        <v>0</v>
      </c>
      <c r="GP40">
        <f t="shared" si="41"/>
        <v>0</v>
      </c>
      <c r="GR40">
        <v>0</v>
      </c>
    </row>
    <row r="41" spans="1:200" ht="12.75">
      <c r="A41">
        <v>17</v>
      </c>
      <c r="B41">
        <v>1</v>
      </c>
      <c r="C41">
        <f>ROW(SmtRes!A97)</f>
        <v>97</v>
      </c>
      <c r="D41">
        <f>ROW(EtalonRes!A133)</f>
        <v>133</v>
      </c>
      <c r="E41" t="s">
        <v>120</v>
      </c>
      <c r="F41" t="s">
        <v>121</v>
      </c>
      <c r="G41" t="s">
        <v>122</v>
      </c>
      <c r="H41" t="s">
        <v>61</v>
      </c>
      <c r="I41">
        <v>0.047</v>
      </c>
      <c r="J41">
        <v>0</v>
      </c>
      <c r="O41">
        <f t="shared" si="10"/>
        <v>342</v>
      </c>
      <c r="P41">
        <f t="shared" si="11"/>
        <v>58</v>
      </c>
      <c r="Q41">
        <f t="shared" si="12"/>
        <v>0</v>
      </c>
      <c r="R41">
        <f t="shared" si="13"/>
        <v>0</v>
      </c>
      <c r="S41">
        <f t="shared" si="14"/>
        <v>284</v>
      </c>
      <c r="T41">
        <f t="shared" si="15"/>
        <v>0</v>
      </c>
      <c r="U41">
        <f t="shared" si="16"/>
        <v>2.2607</v>
      </c>
      <c r="V41">
        <f t="shared" si="17"/>
        <v>0</v>
      </c>
      <c r="W41">
        <f t="shared" si="18"/>
        <v>0</v>
      </c>
      <c r="X41">
        <f t="shared" si="19"/>
        <v>193</v>
      </c>
      <c r="Y41">
        <f t="shared" si="20"/>
        <v>114</v>
      </c>
      <c r="AA41">
        <v>26994759</v>
      </c>
      <c r="AB41">
        <f t="shared" si="21"/>
        <v>7273.17</v>
      </c>
      <c r="AC41">
        <f>ROUND((SUM(SmtRes!BQ96:SmtRes!BQ97)),2)</f>
        <v>1226.04</v>
      </c>
      <c r="AD41">
        <f>ROUND((0),2)</f>
        <v>0</v>
      </c>
      <c r="AE41">
        <f t="shared" si="22"/>
        <v>0</v>
      </c>
      <c r="AF41">
        <f>ROUND((SUM(SmtRes!BT96:SmtRes!BT97)),2)</f>
        <v>6047.13</v>
      </c>
      <c r="AG41">
        <f t="shared" si="23"/>
        <v>0</v>
      </c>
      <c r="AH41">
        <f>(SUM(SmtRes!BU96:SmtRes!BU97))</f>
        <v>48.1</v>
      </c>
      <c r="AI41">
        <f>(0)</f>
        <v>0</v>
      </c>
      <c r="AJ41">
        <f t="shared" si="24"/>
        <v>0</v>
      </c>
      <c r="AK41">
        <v>3636.585629949239</v>
      </c>
      <c r="AL41">
        <v>613.0196299492385</v>
      </c>
      <c r="AM41">
        <v>0</v>
      </c>
      <c r="AN41">
        <v>0</v>
      </c>
      <c r="AO41">
        <v>3023.5660000000003</v>
      </c>
      <c r="AP41">
        <v>0</v>
      </c>
      <c r="AQ41">
        <v>24.05</v>
      </c>
      <c r="AR41">
        <v>0</v>
      </c>
      <c r="AS41">
        <v>0</v>
      </c>
      <c r="AT41">
        <v>68</v>
      </c>
      <c r="AU41">
        <v>40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1</v>
      </c>
      <c r="BJ41" t="s">
        <v>123</v>
      </c>
      <c r="BM41">
        <v>62001</v>
      </c>
      <c r="BN41">
        <v>0</v>
      </c>
      <c r="BP41">
        <v>0</v>
      </c>
      <c r="BQ41">
        <v>6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80</v>
      </c>
      <c r="CA41">
        <v>50</v>
      </c>
      <c r="CF41">
        <v>0</v>
      </c>
      <c r="CG41">
        <v>0</v>
      </c>
      <c r="CM41">
        <v>0</v>
      </c>
      <c r="CO41">
        <v>0</v>
      </c>
      <c r="CP41">
        <f t="shared" si="25"/>
        <v>342</v>
      </c>
      <c r="CQ41">
        <f t="shared" si="26"/>
        <v>1226.04</v>
      </c>
      <c r="CR41">
        <f t="shared" si="27"/>
        <v>0</v>
      </c>
      <c r="CS41">
        <f t="shared" si="28"/>
        <v>0</v>
      </c>
      <c r="CT41">
        <f t="shared" si="29"/>
        <v>6047.13</v>
      </c>
      <c r="CU41">
        <f t="shared" si="30"/>
        <v>0</v>
      </c>
      <c r="CV41">
        <f t="shared" si="31"/>
        <v>48.1</v>
      </c>
      <c r="CW41">
        <f t="shared" si="32"/>
        <v>0</v>
      </c>
      <c r="CX41">
        <f t="shared" si="33"/>
        <v>0</v>
      </c>
      <c r="CY41">
        <f aca="true" t="shared" si="42" ref="CY41:CY53">((S41+R41)*(ROUND((FX41*IF(0,(IF(0,0.94,0.85)*IF(0,0.85,1)),1)),IF(0,0,2))/100))</f>
        <v>193.12</v>
      </c>
      <c r="CZ41">
        <f aca="true" t="shared" si="43" ref="CZ41:CZ53">((S41+R41)*(ROUND((FY41*IF(0,0.8,1)),IF(0,0,2))/100))</f>
        <v>113.60000000000001</v>
      </c>
      <c r="DD41" t="s">
        <v>46</v>
      </c>
      <c r="DE41" t="s">
        <v>46</v>
      </c>
      <c r="DF41" t="s">
        <v>46</v>
      </c>
      <c r="DG41" t="s">
        <v>46</v>
      </c>
      <c r="DI41" t="s">
        <v>46</v>
      </c>
      <c r="DJ41" t="s">
        <v>46</v>
      </c>
      <c r="DL41" t="s">
        <v>124</v>
      </c>
      <c r="DM41" t="s">
        <v>86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61</v>
      </c>
      <c r="DW41" t="s">
        <v>61</v>
      </c>
      <c r="DX41">
        <v>1</v>
      </c>
      <c r="EE41">
        <v>25701131</v>
      </c>
      <c r="EF41">
        <v>6</v>
      </c>
      <c r="EG41" t="s">
        <v>64</v>
      </c>
      <c r="EH41">
        <v>0</v>
      </c>
      <c r="EJ41">
        <v>1</v>
      </c>
      <c r="EK41">
        <v>62001</v>
      </c>
      <c r="EL41" t="s">
        <v>65</v>
      </c>
      <c r="EM41" t="s">
        <v>66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24.05</v>
      </c>
      <c r="EX41">
        <v>0</v>
      </c>
      <c r="EY41">
        <v>0</v>
      </c>
      <c r="FQ41">
        <v>0</v>
      </c>
      <c r="FR41">
        <f t="shared" si="36"/>
        <v>0</v>
      </c>
      <c r="FS41">
        <v>0</v>
      </c>
      <c r="FX41">
        <v>68</v>
      </c>
      <c r="FY41">
        <v>40</v>
      </c>
      <c r="GF41">
        <v>286883129</v>
      </c>
      <c r="GG41">
        <v>2</v>
      </c>
      <c r="GH41">
        <v>1</v>
      </c>
      <c r="GI41">
        <v>-2</v>
      </c>
      <c r="GJ41">
        <v>0</v>
      </c>
      <c r="GK41">
        <f>ROUND(R41*(R12)/100,0)</f>
        <v>0</v>
      </c>
      <c r="GL41">
        <f t="shared" si="37"/>
        <v>0</v>
      </c>
      <c r="GM41">
        <f t="shared" si="38"/>
        <v>649</v>
      </c>
      <c r="GN41">
        <f t="shared" si="39"/>
        <v>649</v>
      </c>
      <c r="GO41">
        <f t="shared" si="40"/>
        <v>0</v>
      </c>
      <c r="GP41">
        <f t="shared" si="41"/>
        <v>0</v>
      </c>
      <c r="GR41">
        <v>0</v>
      </c>
    </row>
    <row r="42" spans="1:200" ht="12.75">
      <c r="A42">
        <v>17</v>
      </c>
      <c r="B42">
        <v>1</v>
      </c>
      <c r="C42">
        <f>ROW(SmtRes!A102)</f>
        <v>102</v>
      </c>
      <c r="D42">
        <f>ROW(EtalonRes!A139)</f>
        <v>139</v>
      </c>
      <c r="E42" t="s">
        <v>125</v>
      </c>
      <c r="F42" t="s">
        <v>126</v>
      </c>
      <c r="G42" t="s">
        <v>127</v>
      </c>
      <c r="H42" t="s">
        <v>52</v>
      </c>
      <c r="I42">
        <v>0.047</v>
      </c>
      <c r="J42">
        <v>0</v>
      </c>
      <c r="O42">
        <f t="shared" si="10"/>
        <v>159</v>
      </c>
      <c r="P42">
        <f t="shared" si="11"/>
        <v>34</v>
      </c>
      <c r="Q42">
        <f t="shared" si="12"/>
        <v>0</v>
      </c>
      <c r="R42">
        <f t="shared" si="13"/>
        <v>0</v>
      </c>
      <c r="S42">
        <f t="shared" si="14"/>
        <v>125</v>
      </c>
      <c r="T42">
        <f t="shared" si="15"/>
        <v>0</v>
      </c>
      <c r="U42">
        <f t="shared" si="16"/>
        <v>0.8820959999999999</v>
      </c>
      <c r="V42">
        <f t="shared" si="17"/>
        <v>0.0005875</v>
      </c>
      <c r="W42">
        <f t="shared" si="18"/>
        <v>0</v>
      </c>
      <c r="X42">
        <f t="shared" si="19"/>
        <v>100</v>
      </c>
      <c r="Y42">
        <f t="shared" si="20"/>
        <v>47</v>
      </c>
      <c r="AA42">
        <v>26994759</v>
      </c>
      <c r="AB42">
        <f t="shared" si="21"/>
        <v>3387.28</v>
      </c>
      <c r="AC42">
        <f>ROUND((SUM(SmtRes!BQ98:SmtRes!BQ102)),2)</f>
        <v>722.33</v>
      </c>
      <c r="AD42">
        <f>ROUND((SUM(SmtRes!BR98:SmtRes!BR102)),2)</f>
        <v>3.08</v>
      </c>
      <c r="AE42">
        <f t="shared" si="22"/>
        <v>0</v>
      </c>
      <c r="AF42">
        <f>ROUND((SUM(SmtRes!BT98:SmtRes!BT102)),2)</f>
        <v>2661.87</v>
      </c>
      <c r="AG42">
        <f t="shared" si="23"/>
        <v>0</v>
      </c>
      <c r="AH42">
        <f>(SUM(SmtRes!BU98:SmtRes!BU102))</f>
        <v>18.767999999999997</v>
      </c>
      <c r="AI42">
        <f>(SUM(SmtRes!BV98:SmtRes!BV102))</f>
        <v>0.0125</v>
      </c>
      <c r="AJ42">
        <f t="shared" si="24"/>
        <v>0</v>
      </c>
      <c r="AK42">
        <v>3039.4617000000003</v>
      </c>
      <c r="AL42">
        <v>722.3284000000001</v>
      </c>
      <c r="AM42">
        <v>2.4677000000000002</v>
      </c>
      <c r="AN42">
        <v>0</v>
      </c>
      <c r="AO42">
        <v>2314.6656000000003</v>
      </c>
      <c r="AP42">
        <v>0</v>
      </c>
      <c r="AQ42">
        <v>16.32</v>
      </c>
      <c r="AR42">
        <v>0.01</v>
      </c>
      <c r="AS42">
        <v>0</v>
      </c>
      <c r="AT42">
        <v>80.33</v>
      </c>
      <c r="AU42">
        <v>37.4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1</v>
      </c>
      <c r="BH42">
        <v>0</v>
      </c>
      <c r="BI42">
        <v>1</v>
      </c>
      <c r="BJ42" t="s">
        <v>128</v>
      </c>
      <c r="BM42">
        <v>15001</v>
      </c>
      <c r="BN42">
        <v>0</v>
      </c>
      <c r="BP42">
        <v>0</v>
      </c>
      <c r="BQ42">
        <v>2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105</v>
      </c>
      <c r="CA42">
        <v>55</v>
      </c>
      <c r="CF42">
        <v>0</v>
      </c>
      <c r="CG42">
        <v>0</v>
      </c>
      <c r="CM42">
        <v>0</v>
      </c>
      <c r="CO42">
        <v>0</v>
      </c>
      <c r="CP42">
        <f t="shared" si="25"/>
        <v>159</v>
      </c>
      <c r="CQ42">
        <f t="shared" si="26"/>
        <v>722.33</v>
      </c>
      <c r="CR42">
        <f t="shared" si="27"/>
        <v>3.08</v>
      </c>
      <c r="CS42">
        <f t="shared" si="28"/>
        <v>0</v>
      </c>
      <c r="CT42">
        <f t="shared" si="29"/>
        <v>2661.87</v>
      </c>
      <c r="CU42">
        <f t="shared" si="30"/>
        <v>0</v>
      </c>
      <c r="CV42">
        <f t="shared" si="31"/>
        <v>18.767999999999997</v>
      </c>
      <c r="CW42">
        <f t="shared" si="32"/>
        <v>0.0125</v>
      </c>
      <c r="CX42">
        <f t="shared" si="33"/>
        <v>0</v>
      </c>
      <c r="CY42">
        <f t="shared" si="42"/>
        <v>100.41250000000001</v>
      </c>
      <c r="CZ42">
        <f t="shared" si="43"/>
        <v>46.75</v>
      </c>
      <c r="DE42" t="s">
        <v>17</v>
      </c>
      <c r="DF42" t="s">
        <v>17</v>
      </c>
      <c r="DG42" t="s">
        <v>18</v>
      </c>
      <c r="DI42" t="s">
        <v>18</v>
      </c>
      <c r="DJ42" t="s">
        <v>17</v>
      </c>
      <c r="DL42" t="s">
        <v>54</v>
      </c>
      <c r="DM42" t="s">
        <v>55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52</v>
      </c>
      <c r="DW42" t="s">
        <v>52</v>
      </c>
      <c r="DX42">
        <v>1</v>
      </c>
      <c r="EE42">
        <v>25701076</v>
      </c>
      <c r="EF42">
        <v>2</v>
      </c>
      <c r="EG42" t="s">
        <v>21</v>
      </c>
      <c r="EH42">
        <v>0</v>
      </c>
      <c r="EJ42">
        <v>1</v>
      </c>
      <c r="EK42">
        <v>15001</v>
      </c>
      <c r="EL42" t="s">
        <v>56</v>
      </c>
      <c r="EM42" t="s">
        <v>57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16.32</v>
      </c>
      <c r="EX42">
        <v>0.01</v>
      </c>
      <c r="EY42">
        <v>0</v>
      </c>
      <c r="FQ42">
        <v>0</v>
      </c>
      <c r="FR42">
        <f t="shared" si="36"/>
        <v>0</v>
      </c>
      <c r="FS42">
        <v>0</v>
      </c>
      <c r="FT42" t="s">
        <v>24</v>
      </c>
      <c r="FU42" t="s">
        <v>25</v>
      </c>
      <c r="FX42">
        <v>80.33</v>
      </c>
      <c r="FY42">
        <v>37.4</v>
      </c>
      <c r="GF42">
        <v>587944531</v>
      </c>
      <c r="GG42">
        <v>2</v>
      </c>
      <c r="GH42">
        <v>1</v>
      </c>
      <c r="GI42">
        <v>-2</v>
      </c>
      <c r="GJ42">
        <v>0</v>
      </c>
      <c r="GK42">
        <f>ROUND(R42*(R12)/100,0)</f>
        <v>0</v>
      </c>
      <c r="GL42">
        <f t="shared" si="37"/>
        <v>0</v>
      </c>
      <c r="GM42">
        <f t="shared" si="38"/>
        <v>306</v>
      </c>
      <c r="GN42">
        <f t="shared" si="39"/>
        <v>306</v>
      </c>
      <c r="GO42">
        <f t="shared" si="40"/>
        <v>0</v>
      </c>
      <c r="GP42">
        <f t="shared" si="41"/>
        <v>0</v>
      </c>
      <c r="GR42">
        <v>0</v>
      </c>
    </row>
    <row r="43" spans="1:200" ht="12.75">
      <c r="A43">
        <v>17</v>
      </c>
      <c r="B43">
        <v>1</v>
      </c>
      <c r="C43">
        <f>ROW(SmtRes!A109)</f>
        <v>109</v>
      </c>
      <c r="D43">
        <f>ROW(EtalonRes!A146)</f>
        <v>146</v>
      </c>
      <c r="E43" t="s">
        <v>129</v>
      </c>
      <c r="F43" t="s">
        <v>130</v>
      </c>
      <c r="G43" t="s">
        <v>131</v>
      </c>
      <c r="H43" t="s">
        <v>132</v>
      </c>
      <c r="I43">
        <v>0.045</v>
      </c>
      <c r="J43">
        <v>0</v>
      </c>
      <c r="O43">
        <f t="shared" si="10"/>
        <v>2595</v>
      </c>
      <c r="P43">
        <f t="shared" si="11"/>
        <v>2451</v>
      </c>
      <c r="Q43">
        <f t="shared" si="12"/>
        <v>6</v>
      </c>
      <c r="R43">
        <f t="shared" si="13"/>
        <v>0</v>
      </c>
      <c r="S43">
        <f t="shared" si="14"/>
        <v>138</v>
      </c>
      <c r="T43">
        <f t="shared" si="15"/>
        <v>0</v>
      </c>
      <c r="U43">
        <f t="shared" si="16"/>
        <v>1.0965825</v>
      </c>
      <c r="V43">
        <f t="shared" si="17"/>
        <v>0.00225</v>
      </c>
      <c r="W43">
        <f t="shared" si="18"/>
        <v>0</v>
      </c>
      <c r="X43">
        <f t="shared" si="19"/>
        <v>125</v>
      </c>
      <c r="Y43">
        <f t="shared" si="20"/>
        <v>59</v>
      </c>
      <c r="AA43">
        <v>26994759</v>
      </c>
      <c r="AB43">
        <f t="shared" si="21"/>
        <v>57674.83</v>
      </c>
      <c r="AC43">
        <f>ROUND((SUM(SmtRes!BQ103:SmtRes!BQ109)),2)</f>
        <v>54469.26</v>
      </c>
      <c r="AD43">
        <f>ROUND((SUM(SmtRes!BR103:SmtRes!BR109)),2)</f>
        <v>141.96</v>
      </c>
      <c r="AE43">
        <f t="shared" si="22"/>
        <v>0</v>
      </c>
      <c r="AF43">
        <f>ROUND((SUM(SmtRes!BT103:SmtRes!BT109)),2)</f>
        <v>3063.61</v>
      </c>
      <c r="AG43">
        <f t="shared" si="23"/>
        <v>0</v>
      </c>
      <c r="AH43">
        <f>(SUM(SmtRes!BU103:SmtRes!BU109))</f>
        <v>24.3685</v>
      </c>
      <c r="AI43">
        <f>(SUM(SmtRes!BV103:SmtRes!BV109))</f>
        <v>0.05</v>
      </c>
      <c r="AJ43">
        <f t="shared" si="24"/>
        <v>0</v>
      </c>
      <c r="AK43">
        <v>57246.8286</v>
      </c>
      <c r="AL43">
        <v>54469.256</v>
      </c>
      <c r="AM43">
        <v>113.5658</v>
      </c>
      <c r="AN43">
        <v>0</v>
      </c>
      <c r="AO43">
        <v>2664.0068</v>
      </c>
      <c r="AP43">
        <v>0</v>
      </c>
      <c r="AQ43">
        <v>21.19</v>
      </c>
      <c r="AR43">
        <v>0.04</v>
      </c>
      <c r="AS43">
        <v>0</v>
      </c>
      <c r="AT43">
        <v>90.27</v>
      </c>
      <c r="AU43">
        <v>42.84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H43">
        <v>0</v>
      </c>
      <c r="BI43">
        <v>1</v>
      </c>
      <c r="BJ43" t="s">
        <v>133</v>
      </c>
      <c r="BM43">
        <v>10001</v>
      </c>
      <c r="BN43">
        <v>0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Z43">
        <v>118</v>
      </c>
      <c r="CA43">
        <v>63</v>
      </c>
      <c r="CF43">
        <v>0</v>
      </c>
      <c r="CG43">
        <v>0</v>
      </c>
      <c r="CM43">
        <v>0</v>
      </c>
      <c r="CO43">
        <v>0</v>
      </c>
      <c r="CP43">
        <f t="shared" si="25"/>
        <v>2595</v>
      </c>
      <c r="CQ43">
        <f t="shared" si="26"/>
        <v>54469.26</v>
      </c>
      <c r="CR43">
        <f t="shared" si="27"/>
        <v>141.96</v>
      </c>
      <c r="CS43">
        <f t="shared" si="28"/>
        <v>0</v>
      </c>
      <c r="CT43">
        <f t="shared" si="29"/>
        <v>3063.61</v>
      </c>
      <c r="CU43">
        <f t="shared" si="30"/>
        <v>0</v>
      </c>
      <c r="CV43">
        <f t="shared" si="31"/>
        <v>24.3685</v>
      </c>
      <c r="CW43">
        <f t="shared" si="32"/>
        <v>0.05</v>
      </c>
      <c r="CX43">
        <f t="shared" si="33"/>
        <v>0</v>
      </c>
      <c r="CY43">
        <f t="shared" si="42"/>
        <v>124.5726</v>
      </c>
      <c r="CZ43">
        <f t="shared" si="43"/>
        <v>59.119200000000006</v>
      </c>
      <c r="DE43" t="s">
        <v>17</v>
      </c>
      <c r="DF43" t="s">
        <v>17</v>
      </c>
      <c r="DG43" t="s">
        <v>18</v>
      </c>
      <c r="DI43" t="s">
        <v>18</v>
      </c>
      <c r="DJ43" t="s">
        <v>17</v>
      </c>
      <c r="DL43" t="s">
        <v>19</v>
      </c>
      <c r="DM43" t="s">
        <v>20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132</v>
      </c>
      <c r="DW43" t="s">
        <v>132</v>
      </c>
      <c r="DX43">
        <v>1</v>
      </c>
      <c r="EE43">
        <v>25701053</v>
      </c>
      <c r="EF43">
        <v>2</v>
      </c>
      <c r="EG43" t="s">
        <v>21</v>
      </c>
      <c r="EH43">
        <v>0</v>
      </c>
      <c r="EJ43">
        <v>1</v>
      </c>
      <c r="EK43">
        <v>10001</v>
      </c>
      <c r="EL43" t="s">
        <v>22</v>
      </c>
      <c r="EM43" t="s">
        <v>23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21.19</v>
      </c>
      <c r="EX43">
        <v>0.04</v>
      </c>
      <c r="EY43">
        <v>0</v>
      </c>
      <c r="FQ43">
        <v>0</v>
      </c>
      <c r="FR43">
        <f t="shared" si="36"/>
        <v>0</v>
      </c>
      <c r="FS43">
        <v>0</v>
      </c>
      <c r="FT43" t="s">
        <v>24</v>
      </c>
      <c r="FU43" t="s">
        <v>25</v>
      </c>
      <c r="FX43">
        <v>90.27</v>
      </c>
      <c r="FY43">
        <v>42.84</v>
      </c>
      <c r="GF43">
        <v>-1656319172</v>
      </c>
      <c r="GG43">
        <v>2</v>
      </c>
      <c r="GH43">
        <v>1</v>
      </c>
      <c r="GI43">
        <v>-2</v>
      </c>
      <c r="GJ43">
        <v>0</v>
      </c>
      <c r="GK43">
        <f>ROUND(R43*(R12)/100,0)</f>
        <v>0</v>
      </c>
      <c r="GL43">
        <f t="shared" si="37"/>
        <v>0</v>
      </c>
      <c r="GM43">
        <f t="shared" si="38"/>
        <v>2779</v>
      </c>
      <c r="GN43">
        <f t="shared" si="39"/>
        <v>2779</v>
      </c>
      <c r="GO43">
        <f t="shared" si="40"/>
        <v>0</v>
      </c>
      <c r="GP43">
        <f t="shared" si="41"/>
        <v>0</v>
      </c>
      <c r="GR43">
        <v>0</v>
      </c>
    </row>
    <row r="44" spans="1:200" ht="12.75">
      <c r="A44">
        <v>17</v>
      </c>
      <c r="B44">
        <v>1</v>
      </c>
      <c r="C44">
        <f>ROW(SmtRes!A117)</f>
        <v>117</v>
      </c>
      <c r="D44">
        <f>ROW(EtalonRes!A154)</f>
        <v>154</v>
      </c>
      <c r="E44" t="s">
        <v>134</v>
      </c>
      <c r="F44" t="s">
        <v>68</v>
      </c>
      <c r="G44" t="s">
        <v>135</v>
      </c>
      <c r="H44" t="s">
        <v>70</v>
      </c>
      <c r="I44">
        <v>0.549</v>
      </c>
      <c r="J44">
        <v>0</v>
      </c>
      <c r="O44">
        <f t="shared" si="10"/>
        <v>4924</v>
      </c>
      <c r="P44">
        <f t="shared" si="11"/>
        <v>3465</v>
      </c>
      <c r="Q44">
        <f t="shared" si="12"/>
        <v>44</v>
      </c>
      <c r="R44">
        <f t="shared" si="13"/>
        <v>0</v>
      </c>
      <c r="S44">
        <f t="shared" si="14"/>
        <v>1415</v>
      </c>
      <c r="T44">
        <f t="shared" si="15"/>
        <v>0</v>
      </c>
      <c r="U44">
        <f t="shared" si="16"/>
        <v>10.695069000000002</v>
      </c>
      <c r="V44">
        <f t="shared" si="17"/>
        <v>0.0068625000000000005</v>
      </c>
      <c r="W44">
        <f t="shared" si="18"/>
        <v>0</v>
      </c>
      <c r="X44">
        <f t="shared" si="19"/>
        <v>1137</v>
      </c>
      <c r="Y44">
        <f t="shared" si="20"/>
        <v>529</v>
      </c>
      <c r="AA44">
        <v>26994759</v>
      </c>
      <c r="AB44">
        <f t="shared" si="21"/>
        <v>8969.5</v>
      </c>
      <c r="AC44">
        <f>ROUND((SUM(SmtRes!BQ110:SmtRes!BQ117)),2)</f>
        <v>6311.5</v>
      </c>
      <c r="AD44">
        <f>ROUND((SUM(SmtRes!BR110:SmtRes!BR117)),2)</f>
        <v>80.86</v>
      </c>
      <c r="AE44">
        <f t="shared" si="22"/>
        <v>0</v>
      </c>
      <c r="AF44">
        <f>ROUND((SUM(SmtRes!BT110:SmtRes!BT117)),2)</f>
        <v>2577.14</v>
      </c>
      <c r="AG44">
        <f t="shared" si="23"/>
        <v>0</v>
      </c>
      <c r="AH44">
        <f>(SUM(SmtRes!BU110:SmtRes!BU117))</f>
        <v>19.481</v>
      </c>
      <c r="AI44">
        <f>(SUM(SmtRes!BV110:SmtRes!BV117))</f>
        <v>0.0125</v>
      </c>
      <c r="AJ44">
        <f t="shared" si="24"/>
        <v>0</v>
      </c>
      <c r="AK44">
        <v>8617.178265</v>
      </c>
      <c r="AL44">
        <v>6311.500965</v>
      </c>
      <c r="AM44">
        <v>64.68469999999999</v>
      </c>
      <c r="AN44">
        <v>0</v>
      </c>
      <c r="AO44">
        <v>2240.9926</v>
      </c>
      <c r="AP44">
        <v>0</v>
      </c>
      <c r="AQ44">
        <v>16.94</v>
      </c>
      <c r="AR44">
        <v>0.01</v>
      </c>
      <c r="AS44">
        <v>0</v>
      </c>
      <c r="AT44">
        <v>80.33</v>
      </c>
      <c r="AU44">
        <v>37.4</v>
      </c>
      <c r="AV44">
        <v>1</v>
      </c>
      <c r="AW44">
        <v>1</v>
      </c>
      <c r="AZ44">
        <v>1</v>
      </c>
      <c r="BA44">
        <v>1</v>
      </c>
      <c r="BB44">
        <v>1</v>
      </c>
      <c r="BC44">
        <v>1</v>
      </c>
      <c r="BH44">
        <v>0</v>
      </c>
      <c r="BI44">
        <v>1</v>
      </c>
      <c r="BJ44" t="s">
        <v>71</v>
      </c>
      <c r="BM44">
        <v>15001</v>
      </c>
      <c r="BN44">
        <v>0</v>
      </c>
      <c r="BP44">
        <v>0</v>
      </c>
      <c r="BQ44">
        <v>2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Z44">
        <v>105</v>
      </c>
      <c r="CA44">
        <v>55</v>
      </c>
      <c r="CF44">
        <v>0</v>
      </c>
      <c r="CG44">
        <v>0</v>
      </c>
      <c r="CM44">
        <v>0</v>
      </c>
      <c r="CO44">
        <v>0</v>
      </c>
      <c r="CP44">
        <f t="shared" si="25"/>
        <v>4924</v>
      </c>
      <c r="CQ44">
        <f t="shared" si="26"/>
        <v>6311.5</v>
      </c>
      <c r="CR44">
        <f t="shared" si="27"/>
        <v>80.86</v>
      </c>
      <c r="CS44">
        <f t="shared" si="28"/>
        <v>0</v>
      </c>
      <c r="CT44">
        <f t="shared" si="29"/>
        <v>2577.14</v>
      </c>
      <c r="CU44">
        <f t="shared" si="30"/>
        <v>0</v>
      </c>
      <c r="CV44">
        <f t="shared" si="31"/>
        <v>19.481</v>
      </c>
      <c r="CW44">
        <f t="shared" si="32"/>
        <v>0.0125</v>
      </c>
      <c r="CX44">
        <f t="shared" si="33"/>
        <v>0</v>
      </c>
      <c r="CY44">
        <f t="shared" si="42"/>
        <v>1136.6695</v>
      </c>
      <c r="CZ44">
        <f t="shared" si="43"/>
        <v>529.21</v>
      </c>
      <c r="DE44" t="s">
        <v>17</v>
      </c>
      <c r="DF44" t="s">
        <v>17</v>
      </c>
      <c r="DG44" t="s">
        <v>18</v>
      </c>
      <c r="DI44" t="s">
        <v>18</v>
      </c>
      <c r="DJ44" t="s">
        <v>17</v>
      </c>
      <c r="DL44" t="s">
        <v>54</v>
      </c>
      <c r="DM44" t="s">
        <v>55</v>
      </c>
      <c r="DN44">
        <v>0</v>
      </c>
      <c r="DO44">
        <v>0</v>
      </c>
      <c r="DP44">
        <v>1</v>
      </c>
      <c r="DQ44">
        <v>1</v>
      </c>
      <c r="DU44">
        <v>1005</v>
      </c>
      <c r="DV44" t="s">
        <v>70</v>
      </c>
      <c r="DW44" t="s">
        <v>70</v>
      </c>
      <c r="DX44">
        <v>100</v>
      </c>
      <c r="EE44">
        <v>25701076</v>
      </c>
      <c r="EF44">
        <v>2</v>
      </c>
      <c r="EG44" t="s">
        <v>21</v>
      </c>
      <c r="EH44">
        <v>0</v>
      </c>
      <c r="EJ44">
        <v>1</v>
      </c>
      <c r="EK44">
        <v>15001</v>
      </c>
      <c r="EL44" t="s">
        <v>56</v>
      </c>
      <c r="EM44" t="s">
        <v>57</v>
      </c>
      <c r="EQ44">
        <v>0</v>
      </c>
      <c r="ER44">
        <v>1090.21</v>
      </c>
      <c r="ES44">
        <v>930.1</v>
      </c>
      <c r="ET44">
        <v>8.16</v>
      </c>
      <c r="EU44">
        <v>0.14</v>
      </c>
      <c r="EV44">
        <v>151.95</v>
      </c>
      <c r="EW44">
        <v>16.94</v>
      </c>
      <c r="EX44">
        <v>0.01</v>
      </c>
      <c r="EY44">
        <v>0</v>
      </c>
      <c r="FQ44">
        <v>0</v>
      </c>
      <c r="FR44">
        <f t="shared" si="36"/>
        <v>0</v>
      </c>
      <c r="FS44">
        <v>0</v>
      </c>
      <c r="FT44" t="s">
        <v>24</v>
      </c>
      <c r="FU44" t="s">
        <v>25</v>
      </c>
      <c r="FX44">
        <v>80.33</v>
      </c>
      <c r="FY44">
        <v>37.4</v>
      </c>
      <c r="GF44">
        <v>-1933516518</v>
      </c>
      <c r="GG44">
        <v>2</v>
      </c>
      <c r="GH44">
        <v>1</v>
      </c>
      <c r="GI44">
        <v>-2</v>
      </c>
      <c r="GJ44">
        <v>0</v>
      </c>
      <c r="GK44">
        <f>ROUND(R44*(R12)/100,0)</f>
        <v>0</v>
      </c>
      <c r="GL44">
        <f t="shared" si="37"/>
        <v>0</v>
      </c>
      <c r="GM44">
        <f t="shared" si="38"/>
        <v>6590</v>
      </c>
      <c r="GN44">
        <f t="shared" si="39"/>
        <v>6590</v>
      </c>
      <c r="GO44">
        <f t="shared" si="40"/>
        <v>0</v>
      </c>
      <c r="GP44">
        <f t="shared" si="41"/>
        <v>0</v>
      </c>
      <c r="GR44">
        <v>0</v>
      </c>
    </row>
    <row r="45" spans="1:200" ht="12.75">
      <c r="A45">
        <v>17</v>
      </c>
      <c r="B45">
        <v>1</v>
      </c>
      <c r="C45">
        <f>ROW(SmtRes!A121)</f>
        <v>121</v>
      </c>
      <c r="D45">
        <f>ROW(EtalonRes!A158)</f>
        <v>158</v>
      </c>
      <c r="E45" t="s">
        <v>136</v>
      </c>
      <c r="F45" t="s">
        <v>137</v>
      </c>
      <c r="G45" t="s">
        <v>138</v>
      </c>
      <c r="H45" t="s">
        <v>139</v>
      </c>
      <c r="I45">
        <v>9.725</v>
      </c>
      <c r="J45">
        <v>0</v>
      </c>
      <c r="O45">
        <f t="shared" si="10"/>
        <v>215680</v>
      </c>
      <c r="P45">
        <f t="shared" si="11"/>
        <v>0</v>
      </c>
      <c r="Q45">
        <f t="shared" si="12"/>
        <v>155050</v>
      </c>
      <c r="R45">
        <f t="shared" si="13"/>
        <v>0</v>
      </c>
      <c r="S45">
        <f t="shared" si="14"/>
        <v>60630</v>
      </c>
      <c r="T45">
        <f t="shared" si="15"/>
        <v>0</v>
      </c>
      <c r="U45">
        <f t="shared" si="16"/>
        <v>482.26275000000004</v>
      </c>
      <c r="V45">
        <f t="shared" si="17"/>
        <v>224.45299999999997</v>
      </c>
      <c r="W45">
        <f t="shared" si="18"/>
        <v>0</v>
      </c>
      <c r="X45">
        <f t="shared" si="19"/>
        <v>56689</v>
      </c>
      <c r="Y45">
        <f t="shared" si="20"/>
        <v>33953</v>
      </c>
      <c r="AA45">
        <v>26994759</v>
      </c>
      <c r="AB45">
        <f t="shared" si="21"/>
        <v>22177.88</v>
      </c>
      <c r="AC45">
        <f>ROUND((0),2)</f>
        <v>0</v>
      </c>
      <c r="AD45">
        <f>ROUND((SUM(SmtRes!BR118:SmtRes!BR121)),2)</f>
        <v>15943.43</v>
      </c>
      <c r="AE45">
        <f t="shared" si="22"/>
        <v>0</v>
      </c>
      <c r="AF45">
        <f>ROUND((SUM(SmtRes!BT118:SmtRes!BT121)),2)</f>
        <v>6234.45</v>
      </c>
      <c r="AG45">
        <f t="shared" si="23"/>
        <v>0</v>
      </c>
      <c r="AH45">
        <f>(SUM(SmtRes!BU118:SmtRes!BU121))</f>
        <v>49.59</v>
      </c>
      <c r="AI45">
        <f>(SUM(SmtRes!BV118:SmtRes!BV121))</f>
        <v>23.08</v>
      </c>
      <c r="AJ45">
        <f t="shared" si="24"/>
        <v>0</v>
      </c>
      <c r="AK45">
        <v>22177.888</v>
      </c>
      <c r="AL45">
        <v>0</v>
      </c>
      <c r="AM45">
        <v>15943.433199999998</v>
      </c>
      <c r="AN45">
        <v>0</v>
      </c>
      <c r="AO45">
        <v>6234.4548</v>
      </c>
      <c r="AP45">
        <v>0</v>
      </c>
      <c r="AQ45">
        <v>49.59</v>
      </c>
      <c r="AR45">
        <v>23.08</v>
      </c>
      <c r="AS45">
        <v>0</v>
      </c>
      <c r="AT45">
        <v>93.5</v>
      </c>
      <c r="AU45">
        <v>56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1</v>
      </c>
      <c r="BH45">
        <v>0</v>
      </c>
      <c r="BI45">
        <v>1</v>
      </c>
      <c r="BJ45" t="s">
        <v>140</v>
      </c>
      <c r="BM45">
        <v>46001</v>
      </c>
      <c r="BN45">
        <v>0</v>
      </c>
      <c r="BP45">
        <v>0</v>
      </c>
      <c r="BQ45">
        <v>2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Z45">
        <v>110</v>
      </c>
      <c r="CA45">
        <v>70</v>
      </c>
      <c r="CF45">
        <v>0</v>
      </c>
      <c r="CG45">
        <v>0</v>
      </c>
      <c r="CM45">
        <v>0</v>
      </c>
      <c r="CO45">
        <v>0</v>
      </c>
      <c r="CP45">
        <f t="shared" si="25"/>
        <v>215680</v>
      </c>
      <c r="CQ45">
        <f t="shared" si="26"/>
        <v>0</v>
      </c>
      <c r="CR45">
        <f t="shared" si="27"/>
        <v>15943.43</v>
      </c>
      <c r="CS45">
        <f t="shared" si="28"/>
        <v>0</v>
      </c>
      <c r="CT45">
        <f t="shared" si="29"/>
        <v>6234.45</v>
      </c>
      <c r="CU45">
        <f t="shared" si="30"/>
        <v>0</v>
      </c>
      <c r="CV45">
        <f t="shared" si="31"/>
        <v>49.59</v>
      </c>
      <c r="CW45">
        <f t="shared" si="32"/>
        <v>23.08</v>
      </c>
      <c r="CX45">
        <f t="shared" si="33"/>
        <v>0</v>
      </c>
      <c r="CY45">
        <f t="shared" si="42"/>
        <v>56689.05</v>
      </c>
      <c r="CZ45">
        <f t="shared" si="43"/>
        <v>33952.8</v>
      </c>
      <c r="DL45" t="s">
        <v>141</v>
      </c>
      <c r="DM45" t="s">
        <v>142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139</v>
      </c>
      <c r="DW45" t="s">
        <v>139</v>
      </c>
      <c r="DX45">
        <v>1</v>
      </c>
      <c r="EE45">
        <v>25701113</v>
      </c>
      <c r="EF45">
        <v>2</v>
      </c>
      <c r="EG45" t="s">
        <v>21</v>
      </c>
      <c r="EH45">
        <v>0</v>
      </c>
      <c r="EJ45">
        <v>1</v>
      </c>
      <c r="EK45">
        <v>46001</v>
      </c>
      <c r="EL45" t="s">
        <v>143</v>
      </c>
      <c r="EM45" t="s">
        <v>144</v>
      </c>
      <c r="EQ45">
        <v>0</v>
      </c>
      <c r="ER45">
        <v>2570.82</v>
      </c>
      <c r="ES45">
        <v>0</v>
      </c>
      <c r="ET45">
        <v>2147.82</v>
      </c>
      <c r="EU45">
        <v>232.18</v>
      </c>
      <c r="EV45">
        <v>423</v>
      </c>
      <c r="EW45">
        <v>49.59</v>
      </c>
      <c r="EX45">
        <v>23.08</v>
      </c>
      <c r="EY45">
        <v>0</v>
      </c>
      <c r="FQ45">
        <v>0</v>
      </c>
      <c r="FR45">
        <f t="shared" si="36"/>
        <v>0</v>
      </c>
      <c r="FS45">
        <v>0</v>
      </c>
      <c r="FU45" t="s">
        <v>25</v>
      </c>
      <c r="FX45">
        <v>93.5</v>
      </c>
      <c r="FY45">
        <v>56</v>
      </c>
      <c r="GF45">
        <v>1509397502</v>
      </c>
      <c r="GG45">
        <v>2</v>
      </c>
      <c r="GH45">
        <v>1</v>
      </c>
      <c r="GI45">
        <v>-2</v>
      </c>
      <c r="GJ45">
        <v>0</v>
      </c>
      <c r="GK45">
        <f>ROUND(R45*(R12)/100,0)</f>
        <v>0</v>
      </c>
      <c r="GL45">
        <f t="shared" si="37"/>
        <v>0</v>
      </c>
      <c r="GM45">
        <f t="shared" si="38"/>
        <v>306322</v>
      </c>
      <c r="GN45">
        <f t="shared" si="39"/>
        <v>306322</v>
      </c>
      <c r="GO45">
        <f t="shared" si="40"/>
        <v>0</v>
      </c>
      <c r="GP45">
        <f t="shared" si="41"/>
        <v>0</v>
      </c>
      <c r="GR45">
        <v>0</v>
      </c>
    </row>
    <row r="46" spans="1:200" ht="12.75">
      <c r="A46">
        <v>17</v>
      </c>
      <c r="B46">
        <v>1</v>
      </c>
      <c r="C46">
        <f>ROW(SmtRes!A127)</f>
        <v>127</v>
      </c>
      <c r="D46">
        <f>ROW(EtalonRes!A164)</f>
        <v>164</v>
      </c>
      <c r="E46" t="s">
        <v>145</v>
      </c>
      <c r="F46" t="s">
        <v>146</v>
      </c>
      <c r="G46" t="s">
        <v>147</v>
      </c>
      <c r="H46" t="s">
        <v>148</v>
      </c>
      <c r="I46">
        <v>0.389</v>
      </c>
      <c r="J46">
        <v>0</v>
      </c>
      <c r="O46">
        <f t="shared" si="10"/>
        <v>54630</v>
      </c>
      <c r="P46">
        <f t="shared" si="11"/>
        <v>47694</v>
      </c>
      <c r="Q46">
        <f t="shared" si="12"/>
        <v>4455</v>
      </c>
      <c r="R46">
        <f t="shared" si="13"/>
        <v>0</v>
      </c>
      <c r="S46">
        <f t="shared" si="14"/>
        <v>2481</v>
      </c>
      <c r="T46">
        <f t="shared" si="15"/>
        <v>0</v>
      </c>
      <c r="U46">
        <f t="shared" si="16"/>
        <v>17.491384999999998</v>
      </c>
      <c r="V46">
        <f t="shared" si="17"/>
        <v>6.768599999999999</v>
      </c>
      <c r="W46">
        <f t="shared" si="18"/>
        <v>0</v>
      </c>
      <c r="X46">
        <f t="shared" si="19"/>
        <v>2335</v>
      </c>
      <c r="Y46">
        <f t="shared" si="20"/>
        <v>1265</v>
      </c>
      <c r="AA46">
        <v>26994759</v>
      </c>
      <c r="AB46">
        <f t="shared" si="21"/>
        <v>140435.1</v>
      </c>
      <c r="AC46">
        <f>ROUND((SUM(SmtRes!BQ122:SmtRes!BQ127)),2)</f>
        <v>122605.9</v>
      </c>
      <c r="AD46">
        <f>ROUND((SUM(SmtRes!BR122:SmtRes!BR127)),2)</f>
        <v>11451.81</v>
      </c>
      <c r="AE46">
        <f t="shared" si="22"/>
        <v>0</v>
      </c>
      <c r="AF46">
        <f>ROUND((SUM(SmtRes!BT122:SmtRes!BT127)),2)</f>
        <v>6377.39</v>
      </c>
      <c r="AG46">
        <f t="shared" si="23"/>
        <v>0</v>
      </c>
      <c r="AH46">
        <f>(SUM(SmtRes!BU122:SmtRes!BU127))</f>
        <v>44.964999999999996</v>
      </c>
      <c r="AI46">
        <f>(SUM(SmtRes!BV122:SmtRes!BV127))</f>
        <v>17.4</v>
      </c>
      <c r="AJ46">
        <f t="shared" si="24"/>
        <v>0</v>
      </c>
      <c r="AK46">
        <v>137312.90170000002</v>
      </c>
      <c r="AL46">
        <v>122605.90070000001</v>
      </c>
      <c r="AM46">
        <v>9161.448</v>
      </c>
      <c r="AN46">
        <v>0</v>
      </c>
      <c r="AO46">
        <v>5545.553000000001</v>
      </c>
      <c r="AP46">
        <v>0</v>
      </c>
      <c r="AQ46">
        <v>39.1</v>
      </c>
      <c r="AR46">
        <v>13.92</v>
      </c>
      <c r="AS46">
        <v>0</v>
      </c>
      <c r="AT46">
        <v>94.1</v>
      </c>
      <c r="AU46">
        <v>51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1</v>
      </c>
      <c r="BH46">
        <v>0</v>
      </c>
      <c r="BI46">
        <v>1</v>
      </c>
      <c r="BJ46" t="s">
        <v>149</v>
      </c>
      <c r="BM46">
        <v>11001</v>
      </c>
      <c r="BN46">
        <v>0</v>
      </c>
      <c r="BP46">
        <v>0</v>
      </c>
      <c r="BQ46">
        <v>2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Z46">
        <v>123</v>
      </c>
      <c r="CA46">
        <v>75</v>
      </c>
      <c r="CF46">
        <v>0</v>
      </c>
      <c r="CG46">
        <v>0</v>
      </c>
      <c r="CM46">
        <v>0</v>
      </c>
      <c r="CO46">
        <v>0</v>
      </c>
      <c r="CP46">
        <f t="shared" si="25"/>
        <v>54630</v>
      </c>
      <c r="CQ46">
        <f t="shared" si="26"/>
        <v>122605.9</v>
      </c>
      <c r="CR46">
        <f t="shared" si="27"/>
        <v>11451.81</v>
      </c>
      <c r="CS46">
        <f t="shared" si="28"/>
        <v>0</v>
      </c>
      <c r="CT46">
        <f t="shared" si="29"/>
        <v>6377.39</v>
      </c>
      <c r="CU46">
        <f t="shared" si="30"/>
        <v>0</v>
      </c>
      <c r="CV46">
        <f t="shared" si="31"/>
        <v>44.964999999999996</v>
      </c>
      <c r="CW46">
        <f t="shared" si="32"/>
        <v>17.4</v>
      </c>
      <c r="CX46">
        <f t="shared" si="33"/>
        <v>0</v>
      </c>
      <c r="CY46">
        <f t="shared" si="42"/>
        <v>2334.621</v>
      </c>
      <c r="CZ46">
        <f t="shared" si="43"/>
        <v>1265.31</v>
      </c>
      <c r="DE46" t="s">
        <v>17</v>
      </c>
      <c r="DF46" t="s">
        <v>17</v>
      </c>
      <c r="DG46" t="s">
        <v>18</v>
      </c>
      <c r="DI46" t="s">
        <v>18</v>
      </c>
      <c r="DJ46" t="s">
        <v>17</v>
      </c>
      <c r="DL46" t="s">
        <v>150</v>
      </c>
      <c r="DM46" t="s">
        <v>151</v>
      </c>
      <c r="DN46">
        <v>0</v>
      </c>
      <c r="DO46">
        <v>0</v>
      </c>
      <c r="DP46">
        <v>1</v>
      </c>
      <c r="DQ46">
        <v>1</v>
      </c>
      <c r="DU46">
        <v>1013</v>
      </c>
      <c r="DV46" t="s">
        <v>148</v>
      </c>
      <c r="DW46" t="s">
        <v>148</v>
      </c>
      <c r="DX46">
        <v>1</v>
      </c>
      <c r="EE46">
        <v>25701054</v>
      </c>
      <c r="EF46">
        <v>2</v>
      </c>
      <c r="EG46" t="s">
        <v>21</v>
      </c>
      <c r="EH46">
        <v>0</v>
      </c>
      <c r="EJ46">
        <v>1</v>
      </c>
      <c r="EK46">
        <v>11001</v>
      </c>
      <c r="EL46" t="s">
        <v>152</v>
      </c>
      <c r="EM46" t="s">
        <v>153</v>
      </c>
      <c r="EQ46">
        <v>0</v>
      </c>
      <c r="ER46">
        <v>17722.93</v>
      </c>
      <c r="ES46">
        <v>17105.97</v>
      </c>
      <c r="ET46">
        <v>240.82</v>
      </c>
      <c r="EU46">
        <v>161.47</v>
      </c>
      <c r="EV46">
        <v>376.14</v>
      </c>
      <c r="EW46">
        <v>39.1</v>
      </c>
      <c r="EX46">
        <v>13.92</v>
      </c>
      <c r="EY46">
        <v>0</v>
      </c>
      <c r="FQ46">
        <v>0</v>
      </c>
      <c r="FR46">
        <f t="shared" si="36"/>
        <v>0</v>
      </c>
      <c r="FS46">
        <v>0</v>
      </c>
      <c r="FT46" t="s">
        <v>24</v>
      </c>
      <c r="FU46" t="s">
        <v>25</v>
      </c>
      <c r="FX46">
        <v>94.1</v>
      </c>
      <c r="FY46">
        <v>51</v>
      </c>
      <c r="GF46">
        <v>-1417049954</v>
      </c>
      <c r="GG46">
        <v>2</v>
      </c>
      <c r="GH46">
        <v>1</v>
      </c>
      <c r="GI46">
        <v>-2</v>
      </c>
      <c r="GJ46">
        <v>0</v>
      </c>
      <c r="GK46">
        <f>ROUND(R46*(R12)/100,0)</f>
        <v>0</v>
      </c>
      <c r="GL46">
        <f t="shared" si="37"/>
        <v>0</v>
      </c>
      <c r="GM46">
        <f t="shared" si="38"/>
        <v>58230</v>
      </c>
      <c r="GN46">
        <f t="shared" si="39"/>
        <v>58230</v>
      </c>
      <c r="GO46">
        <f t="shared" si="40"/>
        <v>0</v>
      </c>
      <c r="GP46">
        <f t="shared" si="41"/>
        <v>0</v>
      </c>
      <c r="GR46">
        <v>0</v>
      </c>
    </row>
    <row r="47" spans="1:200" ht="12.75">
      <c r="A47">
        <v>17</v>
      </c>
      <c r="B47">
        <v>1</v>
      </c>
      <c r="C47">
        <f>ROW(SmtRes!A137)</f>
        <v>137</v>
      </c>
      <c r="D47">
        <f>ROW(EtalonRes!A174)</f>
        <v>174</v>
      </c>
      <c r="E47" t="s">
        <v>154</v>
      </c>
      <c r="F47" t="s">
        <v>155</v>
      </c>
      <c r="G47" t="s">
        <v>156</v>
      </c>
      <c r="H47" t="s">
        <v>157</v>
      </c>
      <c r="I47">
        <v>46.073</v>
      </c>
      <c r="J47">
        <v>0</v>
      </c>
      <c r="O47">
        <f t="shared" si="10"/>
        <v>145059</v>
      </c>
      <c r="P47">
        <f t="shared" si="11"/>
        <v>83952</v>
      </c>
      <c r="Q47">
        <f t="shared" si="12"/>
        <v>1741</v>
      </c>
      <c r="R47">
        <f t="shared" si="13"/>
        <v>0</v>
      </c>
      <c r="S47">
        <f t="shared" si="14"/>
        <v>59366</v>
      </c>
      <c r="T47">
        <f t="shared" si="15"/>
        <v>0</v>
      </c>
      <c r="U47">
        <f t="shared" si="16"/>
        <v>383.6037979999999</v>
      </c>
      <c r="V47">
        <f t="shared" si="17"/>
        <v>0.5759125</v>
      </c>
      <c r="W47">
        <f t="shared" si="18"/>
        <v>0</v>
      </c>
      <c r="X47">
        <f t="shared" si="19"/>
        <v>40873</v>
      </c>
      <c r="Y47">
        <f t="shared" si="20"/>
        <v>28258</v>
      </c>
      <c r="AA47">
        <v>26994759</v>
      </c>
      <c r="AB47">
        <f t="shared" si="21"/>
        <v>3148.47</v>
      </c>
      <c r="AC47">
        <f>ROUND((SUM(SmtRes!BQ128:SmtRes!BQ137)),2)</f>
        <v>1822.16</v>
      </c>
      <c r="AD47">
        <f>ROUND((SUM(SmtRes!BR128:SmtRes!BR137)),2)</f>
        <v>37.78</v>
      </c>
      <c r="AE47">
        <f t="shared" si="22"/>
        <v>0</v>
      </c>
      <c r="AF47">
        <f>ROUND((SUM(SmtRes!BT128:SmtRes!BT137)),2)</f>
        <v>1288.53</v>
      </c>
      <c r="AG47">
        <f t="shared" si="23"/>
        <v>0</v>
      </c>
      <c r="AH47">
        <f>(SUM(SmtRes!BU128:SmtRes!BU137))</f>
        <v>8.325999999999999</v>
      </c>
      <c r="AI47">
        <f>(SUM(SmtRes!BV128:SmtRes!BV137))</f>
        <v>0.0125</v>
      </c>
      <c r="AJ47">
        <f t="shared" si="24"/>
        <v>0</v>
      </c>
      <c r="AK47">
        <v>2972.8478768</v>
      </c>
      <c r="AL47">
        <v>1822.1608768</v>
      </c>
      <c r="AM47">
        <v>30.2246</v>
      </c>
      <c r="AN47">
        <v>0</v>
      </c>
      <c r="AO47">
        <v>1120.4624</v>
      </c>
      <c r="AP47">
        <v>0</v>
      </c>
      <c r="AQ47">
        <v>7.24</v>
      </c>
      <c r="AR47">
        <v>0.01</v>
      </c>
      <c r="AS47">
        <v>0</v>
      </c>
      <c r="AT47">
        <v>68.85</v>
      </c>
      <c r="AU47">
        <v>47.6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1</v>
      </c>
      <c r="BJ47" t="s">
        <v>158</v>
      </c>
      <c r="BM47">
        <v>13001</v>
      </c>
      <c r="BN47">
        <v>0</v>
      </c>
      <c r="BP47">
        <v>0</v>
      </c>
      <c r="BQ47">
        <v>2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Z47">
        <v>90</v>
      </c>
      <c r="CA47">
        <v>70</v>
      </c>
      <c r="CF47">
        <v>0</v>
      </c>
      <c r="CG47">
        <v>0</v>
      </c>
      <c r="CM47">
        <v>0</v>
      </c>
      <c r="CO47">
        <v>0</v>
      </c>
      <c r="CP47">
        <f t="shared" si="25"/>
        <v>145059</v>
      </c>
      <c r="CQ47">
        <f t="shared" si="26"/>
        <v>1822.16</v>
      </c>
      <c r="CR47">
        <f t="shared" si="27"/>
        <v>37.78</v>
      </c>
      <c r="CS47">
        <f t="shared" si="28"/>
        <v>0</v>
      </c>
      <c r="CT47">
        <f t="shared" si="29"/>
        <v>1288.53</v>
      </c>
      <c r="CU47">
        <f t="shared" si="30"/>
        <v>0</v>
      </c>
      <c r="CV47">
        <f t="shared" si="31"/>
        <v>8.325999999999999</v>
      </c>
      <c r="CW47">
        <f t="shared" si="32"/>
        <v>0.0125</v>
      </c>
      <c r="CX47">
        <f t="shared" si="33"/>
        <v>0</v>
      </c>
      <c r="CY47">
        <f t="shared" si="42"/>
        <v>40873.490999999995</v>
      </c>
      <c r="CZ47">
        <f t="shared" si="43"/>
        <v>28258.216</v>
      </c>
      <c r="DE47" t="s">
        <v>17</v>
      </c>
      <c r="DF47" t="s">
        <v>17</v>
      </c>
      <c r="DG47" t="s">
        <v>18</v>
      </c>
      <c r="DI47" t="s">
        <v>18</v>
      </c>
      <c r="DJ47" t="s">
        <v>17</v>
      </c>
      <c r="DL47" t="s">
        <v>159</v>
      </c>
      <c r="DM47" t="s">
        <v>38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157</v>
      </c>
      <c r="DW47" t="s">
        <v>157</v>
      </c>
      <c r="DX47">
        <v>1</v>
      </c>
      <c r="EE47">
        <v>25701056</v>
      </c>
      <c r="EF47">
        <v>2</v>
      </c>
      <c r="EG47" t="s">
        <v>21</v>
      </c>
      <c r="EH47">
        <v>0</v>
      </c>
      <c r="EJ47">
        <v>1</v>
      </c>
      <c r="EK47">
        <v>13001</v>
      </c>
      <c r="EL47" t="s">
        <v>160</v>
      </c>
      <c r="EM47" t="s">
        <v>161</v>
      </c>
      <c r="EQ47">
        <v>0</v>
      </c>
      <c r="ER47">
        <v>319.39</v>
      </c>
      <c r="ES47">
        <v>235.01</v>
      </c>
      <c r="ET47">
        <v>8.36</v>
      </c>
      <c r="EU47">
        <v>0.1</v>
      </c>
      <c r="EV47">
        <v>76.02</v>
      </c>
      <c r="EW47">
        <v>7.24</v>
      </c>
      <c r="EX47">
        <v>0.01</v>
      </c>
      <c r="EY47">
        <v>0</v>
      </c>
      <c r="FQ47">
        <v>0</v>
      </c>
      <c r="FR47">
        <f t="shared" si="36"/>
        <v>0</v>
      </c>
      <c r="FS47">
        <v>0</v>
      </c>
      <c r="FT47" t="s">
        <v>24</v>
      </c>
      <c r="FU47" t="s">
        <v>25</v>
      </c>
      <c r="FX47">
        <v>68.85</v>
      </c>
      <c r="FY47">
        <v>47.6</v>
      </c>
      <c r="GF47">
        <v>-1678706665</v>
      </c>
      <c r="GG47">
        <v>2</v>
      </c>
      <c r="GH47">
        <v>1</v>
      </c>
      <c r="GI47">
        <v>-2</v>
      </c>
      <c r="GJ47">
        <v>0</v>
      </c>
      <c r="GK47">
        <f>ROUND(R47*(R12)/100,0)</f>
        <v>0</v>
      </c>
      <c r="GL47">
        <f t="shared" si="37"/>
        <v>0</v>
      </c>
      <c r="GM47">
        <f t="shared" si="38"/>
        <v>214190</v>
      </c>
      <c r="GN47">
        <f t="shared" si="39"/>
        <v>214190</v>
      </c>
      <c r="GO47">
        <f t="shared" si="40"/>
        <v>0</v>
      </c>
      <c r="GP47">
        <f t="shared" si="41"/>
        <v>0</v>
      </c>
      <c r="GR47">
        <v>0</v>
      </c>
    </row>
    <row r="48" spans="1:200" ht="12.75">
      <c r="A48">
        <v>17</v>
      </c>
      <c r="B48">
        <v>1</v>
      </c>
      <c r="C48">
        <f>ROW(SmtRes!A148)</f>
        <v>148</v>
      </c>
      <c r="D48">
        <f>ROW(EtalonRes!A185)</f>
        <v>185</v>
      </c>
      <c r="E48" t="s">
        <v>162</v>
      </c>
      <c r="F48" t="s">
        <v>163</v>
      </c>
      <c r="G48" t="s">
        <v>164</v>
      </c>
      <c r="H48" t="s">
        <v>165</v>
      </c>
      <c r="I48">
        <v>46.073</v>
      </c>
      <c r="J48">
        <v>0</v>
      </c>
      <c r="O48">
        <f t="shared" si="10"/>
        <v>150370</v>
      </c>
      <c r="P48">
        <f t="shared" si="11"/>
        <v>114864</v>
      </c>
      <c r="Q48">
        <f t="shared" si="12"/>
        <v>4101</v>
      </c>
      <c r="R48">
        <f t="shared" si="13"/>
        <v>0</v>
      </c>
      <c r="S48">
        <f t="shared" si="14"/>
        <v>31405</v>
      </c>
      <c r="T48">
        <f t="shared" si="15"/>
        <v>0</v>
      </c>
      <c r="U48">
        <f t="shared" si="16"/>
        <v>202.9285285</v>
      </c>
      <c r="V48">
        <f t="shared" si="17"/>
        <v>8.062775</v>
      </c>
      <c r="W48">
        <f t="shared" si="18"/>
        <v>0</v>
      </c>
      <c r="X48">
        <f t="shared" si="19"/>
        <v>21622</v>
      </c>
      <c r="Y48">
        <f t="shared" si="20"/>
        <v>14949</v>
      </c>
      <c r="AA48">
        <v>26994759</v>
      </c>
      <c r="AB48">
        <f t="shared" si="21"/>
        <v>3263.74</v>
      </c>
      <c r="AC48">
        <f>ROUND((SUM(SmtRes!BQ138:SmtRes!BQ148)),2)</f>
        <v>2493.09</v>
      </c>
      <c r="AD48">
        <f>ROUND((SUM(SmtRes!BR138:SmtRes!BR148)),2)</f>
        <v>89.01</v>
      </c>
      <c r="AE48">
        <f t="shared" si="22"/>
        <v>0</v>
      </c>
      <c r="AF48">
        <f>ROUND((SUM(SmtRes!BT138:SmtRes!BT148)),2)</f>
        <v>681.64</v>
      </c>
      <c r="AG48">
        <f t="shared" si="23"/>
        <v>0</v>
      </c>
      <c r="AH48">
        <f>(SUM(SmtRes!BU138:SmtRes!BU148))</f>
        <v>4.4045</v>
      </c>
      <c r="AI48">
        <f>(SUM(SmtRes!BV138:SmtRes!BV148))</f>
        <v>0.17500000000000002</v>
      </c>
      <c r="AJ48">
        <f t="shared" si="24"/>
        <v>0</v>
      </c>
      <c r="AK48">
        <v>3157.0244855</v>
      </c>
      <c r="AL48">
        <v>2493.0892855</v>
      </c>
      <c r="AM48">
        <v>71.20439999999999</v>
      </c>
      <c r="AN48">
        <v>0</v>
      </c>
      <c r="AO48">
        <v>592.7307999999999</v>
      </c>
      <c r="AP48">
        <v>0</v>
      </c>
      <c r="AQ48">
        <v>3.83</v>
      </c>
      <c r="AR48">
        <v>0.14</v>
      </c>
      <c r="AS48">
        <v>0</v>
      </c>
      <c r="AT48">
        <v>68.85</v>
      </c>
      <c r="AU48">
        <v>47.6</v>
      </c>
      <c r="AV48">
        <v>1</v>
      </c>
      <c r="AW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1</v>
      </c>
      <c r="BJ48" t="s">
        <v>166</v>
      </c>
      <c r="BM48">
        <v>13001</v>
      </c>
      <c r="BN48">
        <v>0</v>
      </c>
      <c r="BP48">
        <v>0</v>
      </c>
      <c r="BQ48">
        <v>2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Z48">
        <v>90</v>
      </c>
      <c r="CA48">
        <v>70</v>
      </c>
      <c r="CF48">
        <v>0</v>
      </c>
      <c r="CG48">
        <v>0</v>
      </c>
      <c r="CM48">
        <v>0</v>
      </c>
      <c r="CO48">
        <v>0</v>
      </c>
      <c r="CP48">
        <f t="shared" si="25"/>
        <v>150370</v>
      </c>
      <c r="CQ48">
        <f t="shared" si="26"/>
        <v>2493.09</v>
      </c>
      <c r="CR48">
        <f t="shared" si="27"/>
        <v>89.01</v>
      </c>
      <c r="CS48">
        <f t="shared" si="28"/>
        <v>0</v>
      </c>
      <c r="CT48">
        <f t="shared" si="29"/>
        <v>681.64</v>
      </c>
      <c r="CU48">
        <f t="shared" si="30"/>
        <v>0</v>
      </c>
      <c r="CV48">
        <f t="shared" si="31"/>
        <v>4.4045</v>
      </c>
      <c r="CW48">
        <f t="shared" si="32"/>
        <v>0.17500000000000002</v>
      </c>
      <c r="CX48">
        <f t="shared" si="33"/>
        <v>0</v>
      </c>
      <c r="CY48">
        <f t="shared" si="42"/>
        <v>21622.342499999995</v>
      </c>
      <c r="CZ48">
        <f t="shared" si="43"/>
        <v>14948.78</v>
      </c>
      <c r="DE48" t="s">
        <v>17</v>
      </c>
      <c r="DF48" t="s">
        <v>17</v>
      </c>
      <c r="DG48" t="s">
        <v>18</v>
      </c>
      <c r="DI48" t="s">
        <v>18</v>
      </c>
      <c r="DJ48" t="s">
        <v>17</v>
      </c>
      <c r="DL48" t="s">
        <v>159</v>
      </c>
      <c r="DM48" t="s">
        <v>38</v>
      </c>
      <c r="DN48">
        <v>0</v>
      </c>
      <c r="DO48">
        <v>0</v>
      </c>
      <c r="DP48">
        <v>1</v>
      </c>
      <c r="DQ48">
        <v>1</v>
      </c>
      <c r="DU48">
        <v>1013</v>
      </c>
      <c r="DV48" t="s">
        <v>165</v>
      </c>
      <c r="DW48" t="s">
        <v>165</v>
      </c>
      <c r="DX48">
        <v>1</v>
      </c>
      <c r="EE48">
        <v>25701056</v>
      </c>
      <c r="EF48">
        <v>2</v>
      </c>
      <c r="EG48" t="s">
        <v>21</v>
      </c>
      <c r="EH48">
        <v>0</v>
      </c>
      <c r="EJ48">
        <v>1</v>
      </c>
      <c r="EK48">
        <v>13001</v>
      </c>
      <c r="EL48" t="s">
        <v>160</v>
      </c>
      <c r="EM48" t="s">
        <v>161</v>
      </c>
      <c r="EQ48">
        <v>0</v>
      </c>
      <c r="ER48">
        <v>214.21</v>
      </c>
      <c r="ES48">
        <v>164.59</v>
      </c>
      <c r="ET48">
        <v>9.4</v>
      </c>
      <c r="EU48">
        <v>1.41</v>
      </c>
      <c r="EV48">
        <v>40.22</v>
      </c>
      <c r="EW48">
        <v>3.83</v>
      </c>
      <c r="EX48">
        <v>0.14</v>
      </c>
      <c r="EY48">
        <v>0</v>
      </c>
      <c r="FQ48">
        <v>0</v>
      </c>
      <c r="FR48">
        <f t="shared" si="36"/>
        <v>0</v>
      </c>
      <c r="FS48">
        <v>0</v>
      </c>
      <c r="FT48" t="s">
        <v>24</v>
      </c>
      <c r="FU48" t="s">
        <v>25</v>
      </c>
      <c r="FX48">
        <v>68.85</v>
      </c>
      <c r="FY48">
        <v>47.6</v>
      </c>
      <c r="GF48">
        <v>-1587280513</v>
      </c>
      <c r="GG48">
        <v>2</v>
      </c>
      <c r="GH48">
        <v>1</v>
      </c>
      <c r="GI48">
        <v>-2</v>
      </c>
      <c r="GJ48">
        <v>0</v>
      </c>
      <c r="GK48">
        <f>ROUND(R48*(R12)/100,0)</f>
        <v>0</v>
      </c>
      <c r="GL48">
        <f t="shared" si="37"/>
        <v>0</v>
      </c>
      <c r="GM48">
        <f t="shared" si="38"/>
        <v>186941</v>
      </c>
      <c r="GN48">
        <f t="shared" si="39"/>
        <v>186941</v>
      </c>
      <c r="GO48">
        <f t="shared" si="40"/>
        <v>0</v>
      </c>
      <c r="GP48">
        <f t="shared" si="41"/>
        <v>0</v>
      </c>
      <c r="GR48">
        <v>0</v>
      </c>
    </row>
    <row r="49" spans="1:200" ht="12.75">
      <c r="A49">
        <v>17</v>
      </c>
      <c r="B49">
        <v>1</v>
      </c>
      <c r="C49">
        <f>ROW(SmtRes!A158)</f>
        <v>158</v>
      </c>
      <c r="D49">
        <f>ROW(EtalonRes!A196)</f>
        <v>196</v>
      </c>
      <c r="E49" t="s">
        <v>167</v>
      </c>
      <c r="F49" t="s">
        <v>168</v>
      </c>
      <c r="G49" t="s">
        <v>169</v>
      </c>
      <c r="H49" t="s">
        <v>170</v>
      </c>
      <c r="I49">
        <v>46.073</v>
      </c>
      <c r="J49">
        <v>0</v>
      </c>
      <c r="O49">
        <f t="shared" si="10"/>
        <v>32710</v>
      </c>
      <c r="P49">
        <f t="shared" si="11"/>
        <v>14315</v>
      </c>
      <c r="Q49">
        <f t="shared" si="12"/>
        <v>1012</v>
      </c>
      <c r="R49">
        <f t="shared" si="13"/>
        <v>0</v>
      </c>
      <c r="S49">
        <f t="shared" si="14"/>
        <v>17383</v>
      </c>
      <c r="T49">
        <f t="shared" si="15"/>
        <v>0</v>
      </c>
      <c r="U49">
        <f t="shared" si="16"/>
        <v>112.32597399999999</v>
      </c>
      <c r="V49">
        <f t="shared" si="17"/>
        <v>2.8795625</v>
      </c>
      <c r="W49">
        <f t="shared" si="18"/>
        <v>0</v>
      </c>
      <c r="X49">
        <f t="shared" si="19"/>
        <v>11968</v>
      </c>
      <c r="Y49">
        <f t="shared" si="20"/>
        <v>8274</v>
      </c>
      <c r="AA49">
        <v>26994759</v>
      </c>
      <c r="AB49">
        <f t="shared" si="21"/>
        <v>709.97</v>
      </c>
      <c r="AC49">
        <f>ROUND((SUM(SmtRes!BQ149:SmtRes!BQ158)),2)</f>
        <v>310.71</v>
      </c>
      <c r="AD49">
        <f>ROUND((SUM(SmtRes!BR149:SmtRes!BR158)),2)</f>
        <v>21.96</v>
      </c>
      <c r="AE49">
        <f t="shared" si="22"/>
        <v>0</v>
      </c>
      <c r="AF49">
        <f>ROUND((SUM(SmtRes!BT149:SmtRes!BT158)),2)</f>
        <v>377.3</v>
      </c>
      <c r="AG49">
        <f t="shared" si="23"/>
        <v>0</v>
      </c>
      <c r="AH49">
        <f>(SUM(SmtRes!BU149:SmtRes!BU158))</f>
        <v>2.4379999999999997</v>
      </c>
      <c r="AI49">
        <f>(SUM(SmtRes!BV149:SmtRes!BV158))</f>
        <v>0.0625</v>
      </c>
      <c r="AJ49">
        <f t="shared" si="24"/>
        <v>0</v>
      </c>
      <c r="AK49">
        <v>656.3684760000001</v>
      </c>
      <c r="AL49">
        <v>310.70707600000003</v>
      </c>
      <c r="AM49">
        <v>17.5702</v>
      </c>
      <c r="AN49">
        <v>0</v>
      </c>
      <c r="AO49">
        <v>328.0912</v>
      </c>
      <c r="AP49">
        <v>0</v>
      </c>
      <c r="AQ49">
        <v>2.12</v>
      </c>
      <c r="AR49">
        <v>0.05</v>
      </c>
      <c r="AS49">
        <v>0</v>
      </c>
      <c r="AT49">
        <v>68.85</v>
      </c>
      <c r="AU49">
        <v>47.6</v>
      </c>
      <c r="AV49">
        <v>1</v>
      </c>
      <c r="AW49">
        <v>1</v>
      </c>
      <c r="AZ49">
        <v>1</v>
      </c>
      <c r="BA49">
        <v>1</v>
      </c>
      <c r="BB49">
        <v>1</v>
      </c>
      <c r="BC49">
        <v>1</v>
      </c>
      <c r="BH49">
        <v>0</v>
      </c>
      <c r="BI49">
        <v>1</v>
      </c>
      <c r="BJ49" t="s">
        <v>171</v>
      </c>
      <c r="BM49">
        <v>13001</v>
      </c>
      <c r="BN49">
        <v>0</v>
      </c>
      <c r="BP49">
        <v>0</v>
      </c>
      <c r="BQ49">
        <v>2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Z49">
        <v>90</v>
      </c>
      <c r="CA49">
        <v>70</v>
      </c>
      <c r="CF49">
        <v>0</v>
      </c>
      <c r="CG49">
        <v>0</v>
      </c>
      <c r="CM49">
        <v>0</v>
      </c>
      <c r="CO49">
        <v>0</v>
      </c>
      <c r="CP49">
        <f t="shared" si="25"/>
        <v>32710</v>
      </c>
      <c r="CQ49">
        <f t="shared" si="26"/>
        <v>310.71</v>
      </c>
      <c r="CR49">
        <f t="shared" si="27"/>
        <v>21.96</v>
      </c>
      <c r="CS49">
        <f t="shared" si="28"/>
        <v>0</v>
      </c>
      <c r="CT49">
        <f t="shared" si="29"/>
        <v>377.3</v>
      </c>
      <c r="CU49">
        <f t="shared" si="30"/>
        <v>0</v>
      </c>
      <c r="CV49">
        <f t="shared" si="31"/>
        <v>2.4379999999999997</v>
      </c>
      <c r="CW49">
        <f t="shared" si="32"/>
        <v>0.0625</v>
      </c>
      <c r="CX49">
        <f t="shared" si="33"/>
        <v>0</v>
      </c>
      <c r="CY49">
        <f t="shared" si="42"/>
        <v>11968.195499999998</v>
      </c>
      <c r="CZ49">
        <f t="shared" si="43"/>
        <v>8274.308</v>
      </c>
      <c r="DE49" t="s">
        <v>17</v>
      </c>
      <c r="DF49" t="s">
        <v>17</v>
      </c>
      <c r="DG49" t="s">
        <v>18</v>
      </c>
      <c r="DI49" t="s">
        <v>18</v>
      </c>
      <c r="DJ49" t="s">
        <v>17</v>
      </c>
      <c r="DL49" t="s">
        <v>159</v>
      </c>
      <c r="DM49" t="s">
        <v>38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170</v>
      </c>
      <c r="DW49" t="s">
        <v>170</v>
      </c>
      <c r="DX49">
        <v>1</v>
      </c>
      <c r="EE49">
        <v>25701056</v>
      </c>
      <c r="EF49">
        <v>2</v>
      </c>
      <c r="EG49" t="s">
        <v>21</v>
      </c>
      <c r="EH49">
        <v>0</v>
      </c>
      <c r="EJ49">
        <v>1</v>
      </c>
      <c r="EK49">
        <v>13001</v>
      </c>
      <c r="EL49" t="s">
        <v>160</v>
      </c>
      <c r="EM49" t="s">
        <v>161</v>
      </c>
      <c r="EQ49">
        <v>0</v>
      </c>
      <c r="ER49">
        <v>58.11</v>
      </c>
      <c r="ES49">
        <v>33.58</v>
      </c>
      <c r="ET49">
        <v>2.27</v>
      </c>
      <c r="EU49">
        <v>0.5</v>
      </c>
      <c r="EV49">
        <v>22.26</v>
      </c>
      <c r="EW49">
        <v>2.12</v>
      </c>
      <c r="EX49">
        <v>0.05</v>
      </c>
      <c r="EY49">
        <v>0</v>
      </c>
      <c r="FQ49">
        <v>0</v>
      </c>
      <c r="FR49">
        <f t="shared" si="36"/>
        <v>0</v>
      </c>
      <c r="FS49">
        <v>0</v>
      </c>
      <c r="FT49" t="s">
        <v>24</v>
      </c>
      <c r="FU49" t="s">
        <v>25</v>
      </c>
      <c r="FX49">
        <v>68.85</v>
      </c>
      <c r="FY49">
        <v>47.6</v>
      </c>
      <c r="GF49">
        <v>-1090982585</v>
      </c>
      <c r="GG49">
        <v>2</v>
      </c>
      <c r="GH49">
        <v>1</v>
      </c>
      <c r="GI49">
        <v>-2</v>
      </c>
      <c r="GJ49">
        <v>0</v>
      </c>
      <c r="GK49">
        <f>ROUND(R49*(R12)/100,0)</f>
        <v>0</v>
      </c>
      <c r="GL49">
        <f t="shared" si="37"/>
        <v>0</v>
      </c>
      <c r="GM49">
        <f t="shared" si="38"/>
        <v>52952</v>
      </c>
      <c r="GN49">
        <f t="shared" si="39"/>
        <v>52952</v>
      </c>
      <c r="GO49">
        <f t="shared" si="40"/>
        <v>0</v>
      </c>
      <c r="GP49">
        <f t="shared" si="41"/>
        <v>0</v>
      </c>
      <c r="GR49">
        <v>0</v>
      </c>
    </row>
    <row r="50" spans="1:200" ht="12.75">
      <c r="A50">
        <v>17</v>
      </c>
      <c r="B50">
        <v>1</v>
      </c>
      <c r="C50">
        <f>ROW(SmtRes!A161)</f>
        <v>161</v>
      </c>
      <c r="D50">
        <f>ROW(EtalonRes!A199)</f>
        <v>199</v>
      </c>
      <c r="E50" t="s">
        <v>172</v>
      </c>
      <c r="F50" t="s">
        <v>173</v>
      </c>
      <c r="G50" t="s">
        <v>174</v>
      </c>
      <c r="H50" t="s">
        <v>29</v>
      </c>
      <c r="I50">
        <v>0.073</v>
      </c>
      <c r="J50">
        <v>0</v>
      </c>
      <c r="O50">
        <f t="shared" si="10"/>
        <v>1044</v>
      </c>
      <c r="P50">
        <f t="shared" si="11"/>
        <v>0</v>
      </c>
      <c r="Q50">
        <f t="shared" si="12"/>
        <v>139</v>
      </c>
      <c r="R50">
        <f t="shared" si="13"/>
        <v>0</v>
      </c>
      <c r="S50">
        <f t="shared" si="14"/>
        <v>905</v>
      </c>
      <c r="T50">
        <f t="shared" si="15"/>
        <v>0</v>
      </c>
      <c r="U50">
        <f t="shared" si="16"/>
        <v>7.58543</v>
      </c>
      <c r="V50">
        <f t="shared" si="17"/>
        <v>0.56502</v>
      </c>
      <c r="W50">
        <f t="shared" si="18"/>
        <v>0</v>
      </c>
      <c r="X50">
        <f t="shared" si="19"/>
        <v>846</v>
      </c>
      <c r="Y50">
        <f t="shared" si="20"/>
        <v>507</v>
      </c>
      <c r="AA50">
        <v>26994759</v>
      </c>
      <c r="AB50">
        <f t="shared" si="21"/>
        <v>14301.27</v>
      </c>
      <c r="AC50">
        <f>ROUND((0),2)</f>
        <v>0</v>
      </c>
      <c r="AD50">
        <f>ROUND((SUM(SmtRes!BR159:SmtRes!BR161)),2)</f>
        <v>1910</v>
      </c>
      <c r="AE50">
        <f t="shared" si="22"/>
        <v>0</v>
      </c>
      <c r="AF50">
        <f>ROUND((SUM(SmtRes!BT159:SmtRes!BT161)),2)</f>
        <v>12391.27</v>
      </c>
      <c r="AG50">
        <f t="shared" si="23"/>
        <v>0</v>
      </c>
      <c r="AH50">
        <f>(SUM(SmtRes!BU159:SmtRes!BU161))</f>
        <v>103.91</v>
      </c>
      <c r="AI50">
        <f>(SUM(SmtRes!BV159:SmtRes!BV161))</f>
        <v>7.74</v>
      </c>
      <c r="AJ50">
        <f t="shared" si="24"/>
        <v>0</v>
      </c>
      <c r="AK50">
        <v>14301.2673</v>
      </c>
      <c r="AL50">
        <v>0</v>
      </c>
      <c r="AM50">
        <v>1909.9998</v>
      </c>
      <c r="AN50">
        <v>0</v>
      </c>
      <c r="AO50">
        <v>12391.2675</v>
      </c>
      <c r="AP50">
        <v>0</v>
      </c>
      <c r="AQ50">
        <v>103.91</v>
      </c>
      <c r="AR50">
        <v>7.74</v>
      </c>
      <c r="AS50">
        <v>0</v>
      </c>
      <c r="AT50">
        <v>93.5</v>
      </c>
      <c r="AU50">
        <v>56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1</v>
      </c>
      <c r="BH50">
        <v>0</v>
      </c>
      <c r="BI50">
        <v>1</v>
      </c>
      <c r="BJ50" t="s">
        <v>175</v>
      </c>
      <c r="BM50">
        <v>46001</v>
      </c>
      <c r="BN50">
        <v>0</v>
      </c>
      <c r="BP50">
        <v>0</v>
      </c>
      <c r="BQ50">
        <v>2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Z50">
        <v>110</v>
      </c>
      <c r="CA50">
        <v>70</v>
      </c>
      <c r="CF50">
        <v>0</v>
      </c>
      <c r="CG50">
        <v>0</v>
      </c>
      <c r="CM50">
        <v>0</v>
      </c>
      <c r="CO50">
        <v>0</v>
      </c>
      <c r="CP50">
        <f t="shared" si="25"/>
        <v>1044</v>
      </c>
      <c r="CQ50">
        <f t="shared" si="26"/>
        <v>0</v>
      </c>
      <c r="CR50">
        <f t="shared" si="27"/>
        <v>1910</v>
      </c>
      <c r="CS50">
        <f t="shared" si="28"/>
        <v>0</v>
      </c>
      <c r="CT50">
        <f t="shared" si="29"/>
        <v>12391.27</v>
      </c>
      <c r="CU50">
        <f t="shared" si="30"/>
        <v>0</v>
      </c>
      <c r="CV50">
        <f t="shared" si="31"/>
        <v>103.91</v>
      </c>
      <c r="CW50">
        <f t="shared" si="32"/>
        <v>7.74</v>
      </c>
      <c r="CX50">
        <f t="shared" si="33"/>
        <v>0</v>
      </c>
      <c r="CY50">
        <f t="shared" si="42"/>
        <v>846.1750000000001</v>
      </c>
      <c r="CZ50">
        <f t="shared" si="43"/>
        <v>506.80000000000007</v>
      </c>
      <c r="DL50" t="s">
        <v>141</v>
      </c>
      <c r="DM50" t="s">
        <v>142</v>
      </c>
      <c r="DN50">
        <v>0</v>
      </c>
      <c r="DO50">
        <v>0</v>
      </c>
      <c r="DP50">
        <v>1</v>
      </c>
      <c r="DQ50">
        <v>1</v>
      </c>
      <c r="DU50">
        <v>1005</v>
      </c>
      <c r="DV50" t="s">
        <v>29</v>
      </c>
      <c r="DW50" t="s">
        <v>29</v>
      </c>
      <c r="DX50">
        <v>100</v>
      </c>
      <c r="EE50">
        <v>25701113</v>
      </c>
      <c r="EF50">
        <v>2</v>
      </c>
      <c r="EG50" t="s">
        <v>21</v>
      </c>
      <c r="EH50">
        <v>0</v>
      </c>
      <c r="EJ50">
        <v>1</v>
      </c>
      <c r="EK50">
        <v>46001</v>
      </c>
      <c r="EL50" t="s">
        <v>143</v>
      </c>
      <c r="EM50" t="s">
        <v>144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103.91</v>
      </c>
      <c r="EX50">
        <v>7.74</v>
      </c>
      <c r="EY50">
        <v>0</v>
      </c>
      <c r="FQ50">
        <v>0</v>
      </c>
      <c r="FR50">
        <f t="shared" si="36"/>
        <v>0</v>
      </c>
      <c r="FS50">
        <v>0</v>
      </c>
      <c r="FU50" t="s">
        <v>25</v>
      </c>
      <c r="FX50">
        <v>93.5</v>
      </c>
      <c r="FY50">
        <v>56</v>
      </c>
      <c r="GF50">
        <v>546397219</v>
      </c>
      <c r="GG50">
        <v>2</v>
      </c>
      <c r="GH50">
        <v>1</v>
      </c>
      <c r="GI50">
        <v>-2</v>
      </c>
      <c r="GJ50">
        <v>0</v>
      </c>
      <c r="GK50">
        <f>ROUND(R50*(R12)/100,0)</f>
        <v>0</v>
      </c>
      <c r="GL50">
        <f t="shared" si="37"/>
        <v>0</v>
      </c>
      <c r="GM50">
        <f t="shared" si="38"/>
        <v>2397</v>
      </c>
      <c r="GN50">
        <f t="shared" si="39"/>
        <v>2397</v>
      </c>
      <c r="GO50">
        <f t="shared" si="40"/>
        <v>0</v>
      </c>
      <c r="GP50">
        <f t="shared" si="41"/>
        <v>0</v>
      </c>
      <c r="GR50">
        <v>0</v>
      </c>
    </row>
    <row r="51" spans="1:200" ht="12.75">
      <c r="A51">
        <v>17</v>
      </c>
      <c r="B51">
        <v>1</v>
      </c>
      <c r="C51">
        <f>ROW(SmtRes!A170)</f>
        <v>170</v>
      </c>
      <c r="D51">
        <f>ROW(EtalonRes!A208)</f>
        <v>208</v>
      </c>
      <c r="E51" t="s">
        <v>176</v>
      </c>
      <c r="F51" t="s">
        <v>177</v>
      </c>
      <c r="G51" t="s">
        <v>178</v>
      </c>
      <c r="H51" t="s">
        <v>179</v>
      </c>
      <c r="I51">
        <v>7.3</v>
      </c>
      <c r="J51">
        <v>0</v>
      </c>
      <c r="O51">
        <f t="shared" si="10"/>
        <v>52890</v>
      </c>
      <c r="P51">
        <f t="shared" si="11"/>
        <v>49066</v>
      </c>
      <c r="Q51">
        <f t="shared" si="12"/>
        <v>361</v>
      </c>
      <c r="R51">
        <f t="shared" si="13"/>
        <v>0</v>
      </c>
      <c r="S51">
        <f t="shared" si="14"/>
        <v>3463</v>
      </c>
      <c r="T51">
        <f t="shared" si="15"/>
        <v>0</v>
      </c>
      <c r="U51">
        <f t="shared" si="16"/>
        <v>23.338099999999997</v>
      </c>
      <c r="V51">
        <f t="shared" si="17"/>
        <v>0</v>
      </c>
      <c r="W51">
        <f t="shared" si="18"/>
        <v>0</v>
      </c>
      <c r="X51">
        <f t="shared" si="19"/>
        <v>2384</v>
      </c>
      <c r="Y51">
        <f t="shared" si="20"/>
        <v>2002</v>
      </c>
      <c r="AA51">
        <v>26994759</v>
      </c>
      <c r="AB51">
        <f t="shared" si="21"/>
        <v>7245.21</v>
      </c>
      <c r="AC51">
        <f>ROUND((SUM(SmtRes!BQ162:SmtRes!BQ170)),2)</f>
        <v>6721.31</v>
      </c>
      <c r="AD51">
        <f>ROUND((SUM(SmtRes!BR162:SmtRes!BR170)),2)</f>
        <v>49.47</v>
      </c>
      <c r="AE51">
        <f t="shared" si="22"/>
        <v>0</v>
      </c>
      <c r="AF51">
        <f>ROUND((SUM(SmtRes!BT162:SmtRes!BT170)),2)</f>
        <v>474.43</v>
      </c>
      <c r="AG51">
        <f t="shared" si="23"/>
        <v>0</v>
      </c>
      <c r="AH51">
        <f>(SUM(SmtRes!BU162:SmtRes!BU170))</f>
        <v>3.1969999999999996</v>
      </c>
      <c r="AI51">
        <f>(0)</f>
        <v>0</v>
      </c>
      <c r="AJ51">
        <f t="shared" si="24"/>
        <v>0</v>
      </c>
      <c r="AK51">
        <v>7173.434988318852</v>
      </c>
      <c r="AL51">
        <v>6721.3077883188525</v>
      </c>
      <c r="AM51">
        <v>39.5752</v>
      </c>
      <c r="AN51">
        <v>0</v>
      </c>
      <c r="AO51">
        <v>412.55199999999996</v>
      </c>
      <c r="AP51">
        <v>0</v>
      </c>
      <c r="AQ51">
        <v>2.78</v>
      </c>
      <c r="AR51">
        <v>0</v>
      </c>
      <c r="AS51">
        <v>0</v>
      </c>
      <c r="AT51">
        <v>68.85</v>
      </c>
      <c r="AU51">
        <v>57.8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1</v>
      </c>
      <c r="BH51">
        <v>0</v>
      </c>
      <c r="BI51">
        <v>1</v>
      </c>
      <c r="BJ51" t="s">
        <v>180</v>
      </c>
      <c r="BM51">
        <v>9001</v>
      </c>
      <c r="BN51">
        <v>0</v>
      </c>
      <c r="BP51">
        <v>0</v>
      </c>
      <c r="BQ51">
        <v>2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Z51">
        <v>90</v>
      </c>
      <c r="CA51">
        <v>85</v>
      </c>
      <c r="CF51">
        <v>0</v>
      </c>
      <c r="CG51">
        <v>0</v>
      </c>
      <c r="CM51">
        <v>0</v>
      </c>
      <c r="CO51">
        <v>0</v>
      </c>
      <c r="CP51">
        <f t="shared" si="25"/>
        <v>52890</v>
      </c>
      <c r="CQ51">
        <f t="shared" si="26"/>
        <v>6721.31</v>
      </c>
      <c r="CR51">
        <f t="shared" si="27"/>
        <v>49.47</v>
      </c>
      <c r="CS51">
        <f t="shared" si="28"/>
        <v>0</v>
      </c>
      <c r="CT51">
        <f t="shared" si="29"/>
        <v>474.43</v>
      </c>
      <c r="CU51">
        <f t="shared" si="30"/>
        <v>0</v>
      </c>
      <c r="CV51">
        <f t="shared" si="31"/>
        <v>3.1969999999999996</v>
      </c>
      <c r="CW51">
        <f t="shared" si="32"/>
        <v>0</v>
      </c>
      <c r="CX51">
        <f t="shared" si="33"/>
        <v>0</v>
      </c>
      <c r="CY51">
        <f t="shared" si="42"/>
        <v>2384.2754999999997</v>
      </c>
      <c r="CZ51">
        <f t="shared" si="43"/>
        <v>2001.6139999999998</v>
      </c>
      <c r="DE51" t="s">
        <v>17</v>
      </c>
      <c r="DF51" t="s">
        <v>17</v>
      </c>
      <c r="DG51" t="s">
        <v>18</v>
      </c>
      <c r="DI51" t="s">
        <v>18</v>
      </c>
      <c r="DJ51" t="s">
        <v>17</v>
      </c>
      <c r="DL51" t="s">
        <v>159</v>
      </c>
      <c r="DM51" t="s">
        <v>181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179</v>
      </c>
      <c r="DW51" t="s">
        <v>179</v>
      </c>
      <c r="DX51">
        <v>1</v>
      </c>
      <c r="EE51">
        <v>25701052</v>
      </c>
      <c r="EF51">
        <v>2</v>
      </c>
      <c r="EG51" t="s">
        <v>21</v>
      </c>
      <c r="EH51">
        <v>0</v>
      </c>
      <c r="EJ51">
        <v>1</v>
      </c>
      <c r="EK51">
        <v>9001</v>
      </c>
      <c r="EL51" t="s">
        <v>182</v>
      </c>
      <c r="EM51" t="s">
        <v>183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2.78</v>
      </c>
      <c r="EX51">
        <v>0</v>
      </c>
      <c r="EY51">
        <v>0</v>
      </c>
      <c r="FQ51">
        <v>0</v>
      </c>
      <c r="FR51">
        <f t="shared" si="36"/>
        <v>0</v>
      </c>
      <c r="FS51">
        <v>0</v>
      </c>
      <c r="FT51" t="s">
        <v>24</v>
      </c>
      <c r="FU51" t="s">
        <v>25</v>
      </c>
      <c r="FX51">
        <v>68.85</v>
      </c>
      <c r="FY51">
        <v>57.8</v>
      </c>
      <c r="GF51">
        <v>-1550549812</v>
      </c>
      <c r="GG51">
        <v>2</v>
      </c>
      <c r="GH51">
        <v>1</v>
      </c>
      <c r="GI51">
        <v>-2</v>
      </c>
      <c r="GJ51">
        <v>0</v>
      </c>
      <c r="GK51">
        <f>ROUND(R51*(R12)/100,0)</f>
        <v>0</v>
      </c>
      <c r="GL51">
        <f t="shared" si="37"/>
        <v>0</v>
      </c>
      <c r="GM51">
        <f t="shared" si="38"/>
        <v>57276</v>
      </c>
      <c r="GN51">
        <f t="shared" si="39"/>
        <v>57276</v>
      </c>
      <c r="GO51">
        <f t="shared" si="40"/>
        <v>0</v>
      </c>
      <c r="GP51">
        <f t="shared" si="41"/>
        <v>0</v>
      </c>
      <c r="GR51">
        <v>0</v>
      </c>
    </row>
    <row r="52" spans="1:200" ht="12.75">
      <c r="A52">
        <v>17</v>
      </c>
      <c r="B52">
        <v>1</v>
      </c>
      <c r="C52">
        <f>ROW(SmtRes!A175)</f>
        <v>175</v>
      </c>
      <c r="D52">
        <f>ROW(EtalonRes!A213)</f>
        <v>213</v>
      </c>
      <c r="E52" t="s">
        <v>184</v>
      </c>
      <c r="F52" t="s">
        <v>185</v>
      </c>
      <c r="G52" t="s">
        <v>186</v>
      </c>
      <c r="H52" t="s">
        <v>187</v>
      </c>
      <c r="I52">
        <v>0.349</v>
      </c>
      <c r="J52">
        <v>0</v>
      </c>
      <c r="O52">
        <f t="shared" si="10"/>
        <v>5046</v>
      </c>
      <c r="P52">
        <f t="shared" si="11"/>
        <v>1405</v>
      </c>
      <c r="Q52">
        <f t="shared" si="12"/>
        <v>54</v>
      </c>
      <c r="R52">
        <f t="shared" si="13"/>
        <v>0</v>
      </c>
      <c r="S52">
        <f t="shared" si="14"/>
        <v>3587</v>
      </c>
      <c r="T52">
        <f t="shared" si="15"/>
        <v>0</v>
      </c>
      <c r="U52">
        <f t="shared" si="16"/>
        <v>28.17477</v>
      </c>
      <c r="V52">
        <f t="shared" si="17"/>
        <v>0</v>
      </c>
      <c r="W52">
        <f t="shared" si="18"/>
        <v>0</v>
      </c>
      <c r="X52">
        <f t="shared" si="19"/>
        <v>3348</v>
      </c>
      <c r="Y52">
        <f t="shared" si="20"/>
        <v>1951</v>
      </c>
      <c r="AA52">
        <v>26994759</v>
      </c>
      <c r="AB52">
        <f t="shared" si="21"/>
        <v>14458.94</v>
      </c>
      <c r="AC52">
        <f>ROUND((SUM(SmtRes!BQ171:SmtRes!BQ175)),2)</f>
        <v>4025.66</v>
      </c>
      <c r="AD52">
        <f>ROUND((SUM(SmtRes!BR171:SmtRes!BR175)),2)</f>
        <v>155.54</v>
      </c>
      <c r="AE52">
        <f t="shared" si="22"/>
        <v>0</v>
      </c>
      <c r="AF52">
        <f>ROUND((SUM(SmtRes!BT171:SmtRes!BT175)),2)</f>
        <v>10277.74</v>
      </c>
      <c r="AG52">
        <f t="shared" si="23"/>
        <v>0</v>
      </c>
      <c r="AH52">
        <f>(SUM(SmtRes!BU171:SmtRes!BU175))</f>
        <v>80.73</v>
      </c>
      <c r="AI52">
        <f>(0)</f>
        <v>0</v>
      </c>
      <c r="AJ52">
        <f t="shared" si="24"/>
        <v>0</v>
      </c>
      <c r="AK52">
        <v>13087.25864</v>
      </c>
      <c r="AL52">
        <v>4025.66264</v>
      </c>
      <c r="AM52">
        <v>124.43399999999998</v>
      </c>
      <c r="AN52">
        <v>0</v>
      </c>
      <c r="AO52">
        <v>8937.162</v>
      </c>
      <c r="AP52">
        <v>0</v>
      </c>
      <c r="AQ52">
        <v>70.2</v>
      </c>
      <c r="AR52">
        <v>0</v>
      </c>
      <c r="AS52">
        <v>0</v>
      </c>
      <c r="AT52">
        <v>93.33</v>
      </c>
      <c r="AU52">
        <v>54.4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1</v>
      </c>
      <c r="BH52">
        <v>0</v>
      </c>
      <c r="BI52">
        <v>1</v>
      </c>
      <c r="BJ52" t="s">
        <v>188</v>
      </c>
      <c r="BM52">
        <v>8001</v>
      </c>
      <c r="BN52">
        <v>0</v>
      </c>
      <c r="BP52">
        <v>0</v>
      </c>
      <c r="BQ52">
        <v>2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Z52">
        <v>122</v>
      </c>
      <c r="CA52">
        <v>80</v>
      </c>
      <c r="CF52">
        <v>0</v>
      </c>
      <c r="CG52">
        <v>0</v>
      </c>
      <c r="CM52">
        <v>0</v>
      </c>
      <c r="CO52">
        <v>0</v>
      </c>
      <c r="CP52">
        <f t="shared" si="25"/>
        <v>5046</v>
      </c>
      <c r="CQ52">
        <f t="shared" si="26"/>
        <v>4025.66</v>
      </c>
      <c r="CR52">
        <f t="shared" si="27"/>
        <v>155.54</v>
      </c>
      <c r="CS52">
        <f t="shared" si="28"/>
        <v>0</v>
      </c>
      <c r="CT52">
        <f t="shared" si="29"/>
        <v>10277.74</v>
      </c>
      <c r="CU52">
        <f t="shared" si="30"/>
        <v>0</v>
      </c>
      <c r="CV52">
        <f t="shared" si="31"/>
        <v>80.73</v>
      </c>
      <c r="CW52">
        <f t="shared" si="32"/>
        <v>0</v>
      </c>
      <c r="CX52">
        <f t="shared" si="33"/>
        <v>0</v>
      </c>
      <c r="CY52">
        <f t="shared" si="42"/>
        <v>3347.7471</v>
      </c>
      <c r="CZ52">
        <f t="shared" si="43"/>
        <v>1951.3280000000002</v>
      </c>
      <c r="DE52" t="s">
        <v>17</v>
      </c>
      <c r="DF52" t="s">
        <v>17</v>
      </c>
      <c r="DG52" t="s">
        <v>18</v>
      </c>
      <c r="DI52" t="s">
        <v>18</v>
      </c>
      <c r="DJ52" t="s">
        <v>17</v>
      </c>
      <c r="DL52" t="s">
        <v>189</v>
      </c>
      <c r="DM52" t="s">
        <v>190</v>
      </c>
      <c r="DN52">
        <v>0</v>
      </c>
      <c r="DO52">
        <v>0</v>
      </c>
      <c r="DP52">
        <v>1</v>
      </c>
      <c r="DQ52">
        <v>1</v>
      </c>
      <c r="DU52">
        <v>1013</v>
      </c>
      <c r="DV52" t="s">
        <v>187</v>
      </c>
      <c r="DW52" t="s">
        <v>187</v>
      </c>
      <c r="DX52">
        <v>1</v>
      </c>
      <c r="EE52">
        <v>25701051</v>
      </c>
      <c r="EF52">
        <v>2</v>
      </c>
      <c r="EG52" t="s">
        <v>21</v>
      </c>
      <c r="EH52">
        <v>0</v>
      </c>
      <c r="EJ52">
        <v>1</v>
      </c>
      <c r="EK52">
        <v>8001</v>
      </c>
      <c r="EL52" t="s">
        <v>191</v>
      </c>
      <c r="EM52" t="s">
        <v>192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70.2</v>
      </c>
      <c r="EX52">
        <v>0</v>
      </c>
      <c r="EY52">
        <v>0</v>
      </c>
      <c r="FQ52">
        <v>0</v>
      </c>
      <c r="FR52">
        <f t="shared" si="36"/>
        <v>0</v>
      </c>
      <c r="FS52">
        <v>0</v>
      </c>
      <c r="FT52" t="s">
        <v>24</v>
      </c>
      <c r="FU52" t="s">
        <v>25</v>
      </c>
      <c r="FX52">
        <v>93.33</v>
      </c>
      <c r="FY52">
        <v>54.4</v>
      </c>
      <c r="GF52">
        <v>-209622656</v>
      </c>
      <c r="GG52">
        <v>2</v>
      </c>
      <c r="GH52">
        <v>1</v>
      </c>
      <c r="GI52">
        <v>-2</v>
      </c>
      <c r="GJ52">
        <v>0</v>
      </c>
      <c r="GK52">
        <f>ROUND(R52*(R12)/100,0)</f>
        <v>0</v>
      </c>
      <c r="GL52">
        <f t="shared" si="37"/>
        <v>0</v>
      </c>
      <c r="GM52">
        <f t="shared" si="38"/>
        <v>10345</v>
      </c>
      <c r="GN52">
        <f t="shared" si="39"/>
        <v>10345</v>
      </c>
      <c r="GO52">
        <f t="shared" si="40"/>
        <v>0</v>
      </c>
      <c r="GP52">
        <f t="shared" si="41"/>
        <v>0</v>
      </c>
      <c r="GR52">
        <v>0</v>
      </c>
    </row>
    <row r="53" spans="1:200" ht="12.75">
      <c r="A53">
        <v>17</v>
      </c>
      <c r="B53">
        <v>1</v>
      </c>
      <c r="C53">
        <f>ROW(SmtRes!A177)</f>
        <v>177</v>
      </c>
      <c r="D53">
        <f>ROW(EtalonRes!A215)</f>
        <v>215</v>
      </c>
      <c r="E53" t="s">
        <v>193</v>
      </c>
      <c r="F53" t="s">
        <v>194</v>
      </c>
      <c r="G53" t="s">
        <v>195</v>
      </c>
      <c r="H53" t="s">
        <v>196</v>
      </c>
      <c r="I53">
        <v>0.264</v>
      </c>
      <c r="J53">
        <v>0</v>
      </c>
      <c r="O53">
        <f t="shared" si="10"/>
        <v>6051</v>
      </c>
      <c r="P53">
        <f t="shared" si="11"/>
        <v>0</v>
      </c>
      <c r="Q53">
        <f t="shared" si="12"/>
        <v>0</v>
      </c>
      <c r="R53">
        <f t="shared" si="13"/>
        <v>0</v>
      </c>
      <c r="S53">
        <f t="shared" si="14"/>
        <v>6051</v>
      </c>
      <c r="T53">
        <f t="shared" si="15"/>
        <v>0</v>
      </c>
      <c r="U53">
        <f t="shared" si="16"/>
        <v>56.58048</v>
      </c>
      <c r="V53">
        <f t="shared" si="17"/>
        <v>0</v>
      </c>
      <c r="W53">
        <f t="shared" si="18"/>
        <v>0</v>
      </c>
      <c r="X53">
        <f t="shared" si="19"/>
        <v>4012</v>
      </c>
      <c r="Y53">
        <f t="shared" si="20"/>
        <v>2420</v>
      </c>
      <c r="AA53">
        <v>26994759</v>
      </c>
      <c r="AB53">
        <f t="shared" si="21"/>
        <v>22921.52</v>
      </c>
      <c r="AC53">
        <f>ROUND((0),2)</f>
        <v>0</v>
      </c>
      <c r="AD53">
        <f>ROUND((0),2)</f>
        <v>0</v>
      </c>
      <c r="AE53">
        <f t="shared" si="22"/>
        <v>0</v>
      </c>
      <c r="AF53">
        <f>ROUND((SUM(SmtRes!BT176:SmtRes!BT177)),2)</f>
        <v>22921.52</v>
      </c>
      <c r="AG53">
        <f t="shared" si="23"/>
        <v>0</v>
      </c>
      <c r="AH53">
        <f>(SUM(SmtRes!BU176:SmtRes!BU177))</f>
        <v>214.32</v>
      </c>
      <c r="AI53">
        <f>(0)</f>
        <v>0</v>
      </c>
      <c r="AJ53">
        <f t="shared" si="24"/>
        <v>0</v>
      </c>
      <c r="AK53">
        <v>22921.524</v>
      </c>
      <c r="AL53">
        <v>0</v>
      </c>
      <c r="AM53">
        <v>0</v>
      </c>
      <c r="AN53">
        <v>0</v>
      </c>
      <c r="AO53">
        <v>22921.524</v>
      </c>
      <c r="AP53">
        <v>0</v>
      </c>
      <c r="AQ53">
        <v>214.32</v>
      </c>
      <c r="AR53">
        <v>0</v>
      </c>
      <c r="AS53">
        <v>0</v>
      </c>
      <c r="AT53">
        <v>66.3</v>
      </c>
      <c r="AU53">
        <v>40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1</v>
      </c>
      <c r="BH53">
        <v>0</v>
      </c>
      <c r="BI53">
        <v>1</v>
      </c>
      <c r="BJ53" t="s">
        <v>197</v>
      </c>
      <c r="BM53">
        <v>69001</v>
      </c>
      <c r="BN53">
        <v>0</v>
      </c>
      <c r="BP53">
        <v>0</v>
      </c>
      <c r="BQ53">
        <v>6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Z53">
        <v>78</v>
      </c>
      <c r="CA53">
        <v>50</v>
      </c>
      <c r="CF53">
        <v>0</v>
      </c>
      <c r="CG53">
        <v>0</v>
      </c>
      <c r="CM53">
        <v>0</v>
      </c>
      <c r="CO53">
        <v>0</v>
      </c>
      <c r="CP53">
        <f t="shared" si="25"/>
        <v>6051</v>
      </c>
      <c r="CQ53">
        <f t="shared" si="26"/>
        <v>0</v>
      </c>
      <c r="CR53">
        <f t="shared" si="27"/>
        <v>0</v>
      </c>
      <c r="CS53">
        <f t="shared" si="28"/>
        <v>0</v>
      </c>
      <c r="CT53">
        <f t="shared" si="29"/>
        <v>22921.52</v>
      </c>
      <c r="CU53">
        <f t="shared" si="30"/>
        <v>0</v>
      </c>
      <c r="CV53">
        <f t="shared" si="31"/>
        <v>214.32</v>
      </c>
      <c r="CW53">
        <f t="shared" si="32"/>
        <v>0</v>
      </c>
      <c r="CX53">
        <f t="shared" si="33"/>
        <v>0</v>
      </c>
      <c r="CY53">
        <f t="shared" si="42"/>
        <v>4011.8129999999996</v>
      </c>
      <c r="CZ53">
        <f t="shared" si="43"/>
        <v>2420.4</v>
      </c>
      <c r="DL53" t="s">
        <v>25</v>
      </c>
      <c r="DM53" t="s">
        <v>63</v>
      </c>
      <c r="DN53">
        <v>0</v>
      </c>
      <c r="DO53">
        <v>0</v>
      </c>
      <c r="DP53">
        <v>1</v>
      </c>
      <c r="DQ53">
        <v>1</v>
      </c>
      <c r="DU53">
        <v>1013</v>
      </c>
      <c r="DV53" t="s">
        <v>196</v>
      </c>
      <c r="DW53" t="s">
        <v>196</v>
      </c>
      <c r="DX53">
        <v>1</v>
      </c>
      <c r="EE53">
        <v>25701158</v>
      </c>
      <c r="EF53">
        <v>6</v>
      </c>
      <c r="EG53" t="s">
        <v>64</v>
      </c>
      <c r="EH53">
        <v>0</v>
      </c>
      <c r="EJ53">
        <v>1</v>
      </c>
      <c r="EK53">
        <v>69001</v>
      </c>
      <c r="EL53" t="s">
        <v>198</v>
      </c>
      <c r="EM53" t="s">
        <v>199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214.32</v>
      </c>
      <c r="EX53">
        <v>0</v>
      </c>
      <c r="EY53">
        <v>0</v>
      </c>
      <c r="FQ53">
        <v>0</v>
      </c>
      <c r="FR53">
        <f t="shared" si="36"/>
        <v>0</v>
      </c>
      <c r="FS53">
        <v>0</v>
      </c>
      <c r="FX53">
        <v>66.3</v>
      </c>
      <c r="FY53">
        <v>40</v>
      </c>
      <c r="GF53">
        <v>-1397501103</v>
      </c>
      <c r="GG53">
        <v>2</v>
      </c>
      <c r="GH53">
        <v>1</v>
      </c>
      <c r="GI53">
        <v>-2</v>
      </c>
      <c r="GJ53">
        <v>0</v>
      </c>
      <c r="GK53">
        <f>ROUND(R53*(R12)/100,0)</f>
        <v>0</v>
      </c>
      <c r="GL53">
        <f t="shared" si="37"/>
        <v>0</v>
      </c>
      <c r="GM53">
        <f t="shared" si="38"/>
        <v>12483</v>
      </c>
      <c r="GN53">
        <f t="shared" si="39"/>
        <v>12483</v>
      </c>
      <c r="GO53">
        <f t="shared" si="40"/>
        <v>0</v>
      </c>
      <c r="GP53">
        <f t="shared" si="41"/>
        <v>0</v>
      </c>
      <c r="GR53">
        <v>0</v>
      </c>
    </row>
    <row r="54" spans="1:200" ht="12.75">
      <c r="A54">
        <v>17</v>
      </c>
      <c r="B54">
        <v>1</v>
      </c>
      <c r="C54">
        <f>ROW(SmtRes!A179)</f>
        <v>179</v>
      </c>
      <c r="D54">
        <f>ROW(EtalonRes!A217)</f>
        <v>217</v>
      </c>
      <c r="E54" t="s">
        <v>200</v>
      </c>
      <c r="F54" t="s">
        <v>201</v>
      </c>
      <c r="G54" t="s">
        <v>202</v>
      </c>
      <c r="H54" t="s">
        <v>203</v>
      </c>
      <c r="I54">
        <v>26.4</v>
      </c>
      <c r="J54">
        <v>0</v>
      </c>
      <c r="O54">
        <f t="shared" si="10"/>
        <v>446</v>
      </c>
      <c r="P54">
        <f t="shared" si="11"/>
        <v>0</v>
      </c>
      <c r="Q54">
        <f t="shared" si="12"/>
        <v>446</v>
      </c>
      <c r="R54">
        <f t="shared" si="13"/>
        <v>0</v>
      </c>
      <c r="S54">
        <f t="shared" si="14"/>
        <v>0</v>
      </c>
      <c r="T54">
        <f t="shared" si="15"/>
        <v>0</v>
      </c>
      <c r="U54">
        <f t="shared" si="16"/>
        <v>0</v>
      </c>
      <c r="V54">
        <f t="shared" si="17"/>
        <v>0.6335999999999999</v>
      </c>
      <c r="W54">
        <f t="shared" si="18"/>
        <v>0</v>
      </c>
      <c r="X54">
        <f t="shared" si="19"/>
        <v>0</v>
      </c>
      <c r="Y54">
        <f t="shared" si="20"/>
        <v>0</v>
      </c>
      <c r="AA54">
        <v>26994759</v>
      </c>
      <c r="AB54">
        <f t="shared" si="21"/>
        <v>16.9</v>
      </c>
      <c r="AC54">
        <f>ROUND((0),2)</f>
        <v>0</v>
      </c>
      <c r="AD54">
        <f>ROUND((SUM(SmtRes!BR178:SmtRes!BR179)),2)</f>
        <v>16.9</v>
      </c>
      <c r="AE54">
        <f t="shared" si="22"/>
        <v>0</v>
      </c>
      <c r="AF54">
        <f>ROUND((0),2)</f>
        <v>0</v>
      </c>
      <c r="AG54">
        <f t="shared" si="23"/>
        <v>0</v>
      </c>
      <c r="AH54">
        <f>(0)</f>
        <v>0</v>
      </c>
      <c r="AI54">
        <f>(SUM(SmtRes!BV178:SmtRes!BV179))</f>
        <v>0.024</v>
      </c>
      <c r="AJ54">
        <f t="shared" si="24"/>
        <v>0</v>
      </c>
      <c r="AK54">
        <v>16.904400000000003</v>
      </c>
      <c r="AL54">
        <v>0</v>
      </c>
      <c r="AM54">
        <v>16.904400000000003</v>
      </c>
      <c r="AN54">
        <v>0</v>
      </c>
      <c r="AO54">
        <v>0</v>
      </c>
      <c r="AP54">
        <v>0</v>
      </c>
      <c r="AQ54">
        <v>0</v>
      </c>
      <c r="AR54">
        <v>0.024</v>
      </c>
      <c r="AS54">
        <v>0</v>
      </c>
      <c r="AT54">
        <v>85</v>
      </c>
      <c r="AU54">
        <v>48</v>
      </c>
      <c r="AV54">
        <v>1</v>
      </c>
      <c r="AW54">
        <v>1</v>
      </c>
      <c r="AZ54">
        <v>1</v>
      </c>
      <c r="BA54">
        <v>1</v>
      </c>
      <c r="BB54">
        <v>1</v>
      </c>
      <c r="BC54">
        <v>1</v>
      </c>
      <c r="BH54">
        <v>0</v>
      </c>
      <c r="BI54">
        <v>1</v>
      </c>
      <c r="BJ54" t="s">
        <v>204</v>
      </c>
      <c r="BM54">
        <v>1201</v>
      </c>
      <c r="BN54">
        <v>0</v>
      </c>
      <c r="BP54">
        <v>0</v>
      </c>
      <c r="BQ54">
        <v>2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BZ54">
        <v>100</v>
      </c>
      <c r="CA54">
        <v>60</v>
      </c>
      <c r="CF54">
        <v>0</v>
      </c>
      <c r="CG54">
        <v>0</v>
      </c>
      <c r="CM54">
        <v>0</v>
      </c>
      <c r="CO54">
        <v>0</v>
      </c>
      <c r="CP54">
        <f t="shared" si="25"/>
        <v>446</v>
      </c>
      <c r="CQ54">
        <f t="shared" si="26"/>
        <v>0</v>
      </c>
      <c r="CR54">
        <f t="shared" si="27"/>
        <v>16.9</v>
      </c>
      <c r="CS54">
        <f t="shared" si="28"/>
        <v>0</v>
      </c>
      <c r="CT54">
        <f t="shared" si="29"/>
        <v>0</v>
      </c>
      <c r="CU54">
        <f t="shared" si="30"/>
        <v>0</v>
      </c>
      <c r="CV54">
        <f t="shared" si="31"/>
        <v>0</v>
      </c>
      <c r="CW54">
        <f t="shared" si="32"/>
        <v>0.024</v>
      </c>
      <c r="CX54">
        <f t="shared" si="33"/>
        <v>0</v>
      </c>
      <c r="CY54">
        <f>((S54+R54)*(ROUND(FX54,IF(0,0,2))/100))</f>
        <v>0</v>
      </c>
      <c r="CZ54">
        <f>((S54+R54)*(ROUND((FY54*1),IF(0,0,2))/100))</f>
        <v>0</v>
      </c>
      <c r="DL54" t="s">
        <v>205</v>
      </c>
      <c r="DM54" t="s">
        <v>206</v>
      </c>
      <c r="DN54">
        <v>0</v>
      </c>
      <c r="DO54">
        <v>0</v>
      </c>
      <c r="DP54">
        <v>1</v>
      </c>
      <c r="DQ54">
        <v>1</v>
      </c>
      <c r="DU54">
        <v>1009</v>
      </c>
      <c r="DV54" t="s">
        <v>203</v>
      </c>
      <c r="DW54" t="s">
        <v>203</v>
      </c>
      <c r="DX54">
        <v>1000</v>
      </c>
      <c r="EE54">
        <v>25701027</v>
      </c>
      <c r="EF54">
        <v>2</v>
      </c>
      <c r="EG54" t="s">
        <v>21</v>
      </c>
      <c r="EH54">
        <v>0</v>
      </c>
      <c r="EJ54">
        <v>1</v>
      </c>
      <c r="EK54">
        <v>1201</v>
      </c>
      <c r="EL54" t="s">
        <v>207</v>
      </c>
      <c r="EM54" t="s">
        <v>208</v>
      </c>
      <c r="EQ54">
        <v>0</v>
      </c>
      <c r="ER54">
        <v>3.02</v>
      </c>
      <c r="ES54">
        <v>0</v>
      </c>
      <c r="ET54">
        <v>3.02</v>
      </c>
      <c r="EU54">
        <v>0.32</v>
      </c>
      <c r="EV54">
        <v>0</v>
      </c>
      <c r="EW54">
        <v>0</v>
      </c>
      <c r="EX54">
        <v>0.024</v>
      </c>
      <c r="EY54">
        <v>0</v>
      </c>
      <c r="FQ54">
        <v>0</v>
      </c>
      <c r="FR54">
        <f t="shared" si="36"/>
        <v>0</v>
      </c>
      <c r="FS54">
        <v>0</v>
      </c>
      <c r="FX54">
        <v>85</v>
      </c>
      <c r="FY54">
        <v>48</v>
      </c>
      <c r="GF54">
        <v>651143524</v>
      </c>
      <c r="GG54">
        <v>2</v>
      </c>
      <c r="GH54">
        <v>2</v>
      </c>
      <c r="GI54">
        <v>-2</v>
      </c>
      <c r="GJ54">
        <v>0</v>
      </c>
      <c r="GK54">
        <f>ROUND(R54*(R12)/100,0)</f>
        <v>0</v>
      </c>
      <c r="GL54">
        <f t="shared" si="37"/>
        <v>0</v>
      </c>
      <c r="GM54">
        <f t="shared" si="38"/>
        <v>446</v>
      </c>
      <c r="GN54">
        <f t="shared" si="39"/>
        <v>446</v>
      </c>
      <c r="GO54">
        <f t="shared" si="40"/>
        <v>0</v>
      </c>
      <c r="GP54">
        <f t="shared" si="41"/>
        <v>0</v>
      </c>
      <c r="GR54">
        <v>0</v>
      </c>
    </row>
    <row r="55" spans="1:200" ht="12.75">
      <c r="A55">
        <v>17</v>
      </c>
      <c r="B55">
        <v>1</v>
      </c>
      <c r="C55">
        <f>ROW(SmtRes!A180)</f>
        <v>180</v>
      </c>
      <c r="E55" t="s">
        <v>209</v>
      </c>
      <c r="F55" t="s">
        <v>210</v>
      </c>
      <c r="G55" t="s">
        <v>211</v>
      </c>
      <c r="H55" t="s">
        <v>203</v>
      </c>
      <c r="I55">
        <v>26.4</v>
      </c>
      <c r="J55">
        <v>0</v>
      </c>
      <c r="O55">
        <f t="shared" si="10"/>
        <v>4659</v>
      </c>
      <c r="P55">
        <f t="shared" si="11"/>
        <v>0</v>
      </c>
      <c r="Q55">
        <f t="shared" si="12"/>
        <v>4659</v>
      </c>
      <c r="R55">
        <f t="shared" si="13"/>
        <v>0</v>
      </c>
      <c r="S55">
        <f t="shared" si="14"/>
        <v>0</v>
      </c>
      <c r="T55">
        <f t="shared" si="15"/>
        <v>0</v>
      </c>
      <c r="U55">
        <f t="shared" si="16"/>
        <v>0</v>
      </c>
      <c r="V55">
        <f t="shared" si="17"/>
        <v>0</v>
      </c>
      <c r="W55">
        <f t="shared" si="18"/>
        <v>0</v>
      </c>
      <c r="X55">
        <f t="shared" si="19"/>
        <v>0</v>
      </c>
      <c r="Y55">
        <f t="shared" si="20"/>
        <v>0</v>
      </c>
      <c r="AA55">
        <v>26994759</v>
      </c>
      <c r="AB55">
        <f t="shared" si="21"/>
        <v>176.47</v>
      </c>
      <c r="AC55">
        <f>ROUND((0),2)</f>
        <v>0</v>
      </c>
      <c r="AD55">
        <f>ROUND((SUM(SmtRes!BR180:SmtRes!BR180)),2)</f>
        <v>176.47</v>
      </c>
      <c r="AE55">
        <f t="shared" si="22"/>
        <v>0</v>
      </c>
      <c r="AF55">
        <f>ROUND((0),2)</f>
        <v>0</v>
      </c>
      <c r="AG55">
        <f t="shared" si="23"/>
        <v>0</v>
      </c>
      <c r="AH55">
        <f>(0)</f>
        <v>0</v>
      </c>
      <c r="AI55">
        <f>(0)</f>
        <v>0</v>
      </c>
      <c r="AJ55">
        <f t="shared" si="24"/>
        <v>0</v>
      </c>
      <c r="AK55">
        <v>176.4675</v>
      </c>
      <c r="AL55">
        <v>0</v>
      </c>
      <c r="AM55">
        <v>176.4675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1</v>
      </c>
      <c r="BJ55" t="s">
        <v>212</v>
      </c>
      <c r="BM55">
        <v>1203</v>
      </c>
      <c r="BN55">
        <v>0</v>
      </c>
      <c r="BP55">
        <v>0</v>
      </c>
      <c r="BQ55">
        <v>10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Z55">
        <v>0</v>
      </c>
      <c r="CA55">
        <v>0</v>
      </c>
      <c r="CF55">
        <v>0</v>
      </c>
      <c r="CG55">
        <v>0</v>
      </c>
      <c r="CM55">
        <v>0</v>
      </c>
      <c r="CO55">
        <v>0</v>
      </c>
      <c r="CP55">
        <f t="shared" si="25"/>
        <v>4659</v>
      </c>
      <c r="CQ55">
        <f t="shared" si="26"/>
        <v>0</v>
      </c>
      <c r="CR55">
        <f t="shared" si="27"/>
        <v>176.47</v>
      </c>
      <c r="CS55">
        <f t="shared" si="28"/>
        <v>0</v>
      </c>
      <c r="CT55">
        <f t="shared" si="29"/>
        <v>0</v>
      </c>
      <c r="CU55">
        <f t="shared" si="30"/>
        <v>0</v>
      </c>
      <c r="CV55">
        <f t="shared" si="31"/>
        <v>0</v>
      </c>
      <c r="CW55">
        <f t="shared" si="32"/>
        <v>0</v>
      </c>
      <c r="CX55">
        <f t="shared" si="33"/>
        <v>0</v>
      </c>
      <c r="CY55">
        <f>((S55+R55)*(ROUND(FX55,IF(0,0,2))/100))</f>
        <v>0</v>
      </c>
      <c r="CZ55">
        <f>((S55+R55)*(ROUND((FY55*1),IF(0,0,2))/100))</f>
        <v>0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203</v>
      </c>
      <c r="DW55" t="s">
        <v>203</v>
      </c>
      <c r="DX55">
        <v>1000</v>
      </c>
      <c r="EE55">
        <v>25701030</v>
      </c>
      <c r="EF55">
        <v>10</v>
      </c>
      <c r="EG55" t="s">
        <v>213</v>
      </c>
      <c r="EH55">
        <v>0</v>
      </c>
      <c r="EJ55">
        <v>1</v>
      </c>
      <c r="EK55">
        <v>1203</v>
      </c>
      <c r="EL55" t="s">
        <v>214</v>
      </c>
      <c r="EM55" t="s">
        <v>215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FQ55">
        <v>0</v>
      </c>
      <c r="FR55">
        <f t="shared" si="36"/>
        <v>0</v>
      </c>
      <c r="FS55">
        <v>0</v>
      </c>
      <c r="FX55">
        <v>0</v>
      </c>
      <c r="FY55">
        <v>0</v>
      </c>
      <c r="GF55">
        <v>-477423169</v>
      </c>
      <c r="GG55">
        <v>2</v>
      </c>
      <c r="GH55">
        <v>0</v>
      </c>
      <c r="GI55">
        <v>-2</v>
      </c>
      <c r="GJ55">
        <v>0</v>
      </c>
      <c r="GK55">
        <f>ROUND(R55*(R12)/100,0)</f>
        <v>0</v>
      </c>
      <c r="GL55">
        <f t="shared" si="37"/>
        <v>0</v>
      </c>
      <c r="GM55">
        <f t="shared" si="38"/>
        <v>4659</v>
      </c>
      <c r="GN55">
        <f t="shared" si="39"/>
        <v>4659</v>
      </c>
      <c r="GO55">
        <f t="shared" si="40"/>
        <v>0</v>
      </c>
      <c r="GP55">
        <f t="shared" si="41"/>
        <v>0</v>
      </c>
      <c r="GR55">
        <v>0</v>
      </c>
    </row>
    <row r="57" spans="1:118" ht="12.75">
      <c r="A57" s="2">
        <v>51</v>
      </c>
      <c r="B57" s="2">
        <f>B20</f>
        <v>1</v>
      </c>
      <c r="C57" s="2">
        <f>A20</f>
        <v>3</v>
      </c>
      <c r="D57" s="2">
        <f>ROW(A20)</f>
        <v>20</v>
      </c>
      <c r="E57" s="2"/>
      <c r="F57" s="2" t="str">
        <f>IF(F20&lt;&gt;"",F20,"")</f>
        <v>Участок изоляции+тамбур</v>
      </c>
      <c r="G57" s="2" t="str">
        <f>IF(G20&lt;&gt;"",G20,"")</f>
        <v>Участок изоляции+тамбур</v>
      </c>
      <c r="H57" s="2"/>
      <c r="I57" s="2"/>
      <c r="J57" s="2"/>
      <c r="K57" s="2"/>
      <c r="L57" s="2"/>
      <c r="M57" s="2"/>
      <c r="N57" s="2"/>
      <c r="O57" s="2">
        <f aca="true" t="shared" si="44" ref="O57:T57">ROUND(AB57,0)</f>
        <v>879306</v>
      </c>
      <c r="P57" s="2">
        <f t="shared" si="44"/>
        <v>439641</v>
      </c>
      <c r="Q57" s="2">
        <f t="shared" si="44"/>
        <v>176857</v>
      </c>
      <c r="R57" s="2">
        <f t="shared" si="44"/>
        <v>0</v>
      </c>
      <c r="S57" s="2">
        <f t="shared" si="44"/>
        <v>262808</v>
      </c>
      <c r="T57" s="2">
        <f t="shared" si="44"/>
        <v>0</v>
      </c>
      <c r="U57" s="2">
        <f>AH57</f>
        <v>1905.1023310000003</v>
      </c>
      <c r="V57" s="2">
        <f>AI57</f>
        <v>259.42352199999993</v>
      </c>
      <c r="W57" s="2">
        <f>ROUND(AJ57,0)</f>
        <v>0</v>
      </c>
      <c r="X57" s="2">
        <f>ROUND(AK57,0)</f>
        <v>205472</v>
      </c>
      <c r="Y57" s="2">
        <f>ROUND(AL57,0)</f>
        <v>124357</v>
      </c>
      <c r="Z57" s="2"/>
      <c r="AA57" s="2"/>
      <c r="AB57" s="2">
        <f>ROUND(SUMIF(AA24:AA55,"=26994759",O24:O55),0)</f>
        <v>879306</v>
      </c>
      <c r="AC57" s="2">
        <f>ROUND(SUMIF(AA24:AA55,"=26994759",P24:P55),0)</f>
        <v>439641</v>
      </c>
      <c r="AD57" s="2">
        <f>ROUND(SUMIF(AA24:AA55,"=26994759",Q24:Q55),0)</f>
        <v>176857</v>
      </c>
      <c r="AE57" s="2">
        <f>ROUND(SUMIF(AA24:AA55,"=26994759",R24:R55),0)</f>
        <v>0</v>
      </c>
      <c r="AF57" s="2">
        <f>ROUND(SUMIF(AA24:AA55,"=26994759",S24:S55),0)</f>
        <v>262808</v>
      </c>
      <c r="AG57" s="2">
        <f>ROUND(SUMIF(AA24:AA55,"=26994759",T24:T55),0)</f>
        <v>0</v>
      </c>
      <c r="AH57" s="2">
        <f>SUMIF(AA24:AA55,"=26994759",U24:U55)</f>
        <v>1905.1023310000003</v>
      </c>
      <c r="AI57" s="2">
        <f>SUMIF(AA24:AA55,"=26994759",V24:V55)</f>
        <v>259.42352199999993</v>
      </c>
      <c r="AJ57" s="2">
        <f>ROUND(SUMIF(AA24:AA55,"=26994759",W24:W55),0)</f>
        <v>0</v>
      </c>
      <c r="AK57" s="2">
        <f>ROUND(SUMIF(AA24:AA55,"=26994759",X24:X55),0)</f>
        <v>205472</v>
      </c>
      <c r="AL57" s="2">
        <f>ROUND(SUMIF(AA24:AA55,"=26994759",Y24:Y55),0)</f>
        <v>124357</v>
      </c>
      <c r="AM57" s="2"/>
      <c r="AN57" s="2"/>
      <c r="AO57" s="2">
        <f aca="true" t="shared" si="45" ref="AO57:AZ57">ROUND(BB57,0)</f>
        <v>0</v>
      </c>
      <c r="AP57" s="2">
        <f t="shared" si="45"/>
        <v>0</v>
      </c>
      <c r="AQ57" s="2">
        <f t="shared" si="45"/>
        <v>0</v>
      </c>
      <c r="AR57" s="2">
        <f t="shared" si="45"/>
        <v>1209135</v>
      </c>
      <c r="AS57" s="2">
        <f t="shared" si="45"/>
        <v>1209135</v>
      </c>
      <c r="AT57" s="2">
        <f t="shared" si="45"/>
        <v>0</v>
      </c>
      <c r="AU57" s="2">
        <f t="shared" si="45"/>
        <v>0</v>
      </c>
      <c r="AV57" s="2">
        <f t="shared" si="45"/>
        <v>439641</v>
      </c>
      <c r="AW57" s="2">
        <f t="shared" si="45"/>
        <v>439641</v>
      </c>
      <c r="AX57" s="2">
        <f t="shared" si="45"/>
        <v>0</v>
      </c>
      <c r="AY57" s="2">
        <f t="shared" si="45"/>
        <v>439641</v>
      </c>
      <c r="AZ57" s="2">
        <f t="shared" si="45"/>
        <v>0</v>
      </c>
      <c r="BA57" s="2"/>
      <c r="BB57" s="2">
        <f>ROUND(SUMIF(AA24:AA55,"=26994759",FQ24:FQ55),0)</f>
        <v>0</v>
      </c>
      <c r="BC57" s="2">
        <f>ROUND(SUMIF(AA24:AA55,"=26994759",FR24:FR55),0)</f>
        <v>0</v>
      </c>
      <c r="BD57" s="2">
        <f>ROUND(SUMIF(AA24:AA55,"=26994759",GL24:GL55),0)</f>
        <v>0</v>
      </c>
      <c r="BE57" s="2">
        <f>ROUND(SUMIF(AA24:AA55,"=26994759",GM24:GM55),0)</f>
        <v>1209135</v>
      </c>
      <c r="BF57" s="2">
        <f>ROUND(SUMIF(AA24:AA55,"=26994759",GN24:GN55),0)</f>
        <v>1209135</v>
      </c>
      <c r="BG57" s="2">
        <f>ROUND(SUMIF(AA24:AA55,"=26994759",GO24:GO55),0)</f>
        <v>0</v>
      </c>
      <c r="BH57" s="2">
        <f>ROUND(SUMIF(AA24:AA55,"=26994759",GP24:GP55),0)</f>
        <v>0</v>
      </c>
      <c r="BI57" s="2">
        <f>AC57-BB57</f>
        <v>439641</v>
      </c>
      <c r="BJ57" s="2">
        <f>AC57-BC57</f>
        <v>439641</v>
      </c>
      <c r="BK57" s="2">
        <f>BB57-BD57</f>
        <v>0</v>
      </c>
      <c r="BL57" s="2">
        <f>AC57-BB57-BC57+BD57</f>
        <v>439641</v>
      </c>
      <c r="BM57" s="2">
        <f>BC57-BD57</f>
        <v>0</v>
      </c>
      <c r="BN57" s="2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>
        <v>0</v>
      </c>
    </row>
    <row r="59" spans="1:16" ht="12.75">
      <c r="A59" s="4">
        <v>50</v>
      </c>
      <c r="B59" s="4">
        <v>0</v>
      </c>
      <c r="C59" s="4">
        <v>0</v>
      </c>
      <c r="D59" s="4">
        <v>1</v>
      </c>
      <c r="E59" s="4">
        <v>201</v>
      </c>
      <c r="F59" s="4">
        <f>ROUND(Source!O57,O59)</f>
        <v>879306</v>
      </c>
      <c r="G59" s="4" t="s">
        <v>216</v>
      </c>
      <c r="H59" s="4" t="s">
        <v>217</v>
      </c>
      <c r="I59" s="4"/>
      <c r="J59" s="4"/>
      <c r="K59" s="4">
        <v>201</v>
      </c>
      <c r="L59" s="4">
        <v>1</v>
      </c>
      <c r="M59" s="4">
        <v>3</v>
      </c>
      <c r="N59" s="4" t="s">
        <v>3</v>
      </c>
      <c r="O59" s="4">
        <v>0</v>
      </c>
      <c r="P59" s="4"/>
    </row>
    <row r="60" spans="1:16" ht="12.75">
      <c r="A60" s="4">
        <v>50</v>
      </c>
      <c r="B60" s="4">
        <v>0</v>
      </c>
      <c r="C60" s="4">
        <v>0</v>
      </c>
      <c r="D60" s="4">
        <v>1</v>
      </c>
      <c r="E60" s="4">
        <v>202</v>
      </c>
      <c r="F60" s="4">
        <f>ROUND(Source!P57,O60)</f>
        <v>439641</v>
      </c>
      <c r="G60" s="4" t="s">
        <v>218</v>
      </c>
      <c r="H60" s="4" t="s">
        <v>219</v>
      </c>
      <c r="I60" s="4"/>
      <c r="J60" s="4"/>
      <c r="K60" s="4">
        <v>202</v>
      </c>
      <c r="L60" s="4">
        <v>2</v>
      </c>
      <c r="M60" s="4">
        <v>3</v>
      </c>
      <c r="N60" s="4" t="s">
        <v>3</v>
      </c>
      <c r="O60" s="4">
        <v>0</v>
      </c>
      <c r="P60" s="4"/>
    </row>
    <row r="61" spans="1:16" ht="12.75">
      <c r="A61" s="4">
        <v>50</v>
      </c>
      <c r="B61" s="4">
        <v>0</v>
      </c>
      <c r="C61" s="4">
        <v>0</v>
      </c>
      <c r="D61" s="4">
        <v>1</v>
      </c>
      <c r="E61" s="4">
        <v>0</v>
      </c>
      <c r="F61" s="4">
        <f>ROUND(Source!AO57,O61)</f>
        <v>0</v>
      </c>
      <c r="G61" s="4" t="s">
        <v>220</v>
      </c>
      <c r="H61" s="4" t="s">
        <v>221</v>
      </c>
      <c r="I61" s="4"/>
      <c r="J61" s="4"/>
      <c r="K61" s="4">
        <v>222</v>
      </c>
      <c r="L61" s="4">
        <v>3</v>
      </c>
      <c r="M61" s="4">
        <v>3</v>
      </c>
      <c r="N61" s="4" t="s">
        <v>3</v>
      </c>
      <c r="O61" s="4">
        <v>0</v>
      </c>
      <c r="P61" s="4"/>
    </row>
    <row r="62" spans="1:16" ht="12.75">
      <c r="A62" s="4">
        <v>50</v>
      </c>
      <c r="B62" s="4">
        <v>0</v>
      </c>
      <c r="C62" s="4">
        <v>0</v>
      </c>
      <c r="D62" s="4">
        <v>1</v>
      </c>
      <c r="E62" s="4">
        <v>225</v>
      </c>
      <c r="F62" s="4">
        <f>ROUND(Source!AV57,O62)</f>
        <v>439641</v>
      </c>
      <c r="G62" s="4" t="s">
        <v>222</v>
      </c>
      <c r="H62" s="4" t="s">
        <v>223</v>
      </c>
      <c r="I62" s="4"/>
      <c r="J62" s="4"/>
      <c r="K62" s="4">
        <v>225</v>
      </c>
      <c r="L62" s="4">
        <v>4</v>
      </c>
      <c r="M62" s="4">
        <v>3</v>
      </c>
      <c r="N62" s="4" t="s">
        <v>3</v>
      </c>
      <c r="O62" s="4">
        <v>0</v>
      </c>
      <c r="P62" s="4"/>
    </row>
    <row r="63" spans="1:16" ht="12.75">
      <c r="A63" s="4">
        <v>50</v>
      </c>
      <c r="B63" s="4">
        <v>0</v>
      </c>
      <c r="C63" s="4">
        <v>0</v>
      </c>
      <c r="D63" s="4">
        <v>1</v>
      </c>
      <c r="E63" s="4">
        <v>226</v>
      </c>
      <c r="F63" s="4">
        <f>ROUND(Source!AW57,O63)</f>
        <v>439641</v>
      </c>
      <c r="G63" s="4" t="s">
        <v>224</v>
      </c>
      <c r="H63" s="4" t="s">
        <v>225</v>
      </c>
      <c r="I63" s="4"/>
      <c r="J63" s="4"/>
      <c r="K63" s="4">
        <v>226</v>
      </c>
      <c r="L63" s="4">
        <v>5</v>
      </c>
      <c r="M63" s="4">
        <v>3</v>
      </c>
      <c r="N63" s="4" t="s">
        <v>3</v>
      </c>
      <c r="O63" s="4">
        <v>0</v>
      </c>
      <c r="P63" s="4"/>
    </row>
    <row r="64" spans="1:16" ht="12.75">
      <c r="A64" s="4">
        <v>50</v>
      </c>
      <c r="B64" s="4">
        <v>0</v>
      </c>
      <c r="C64" s="4">
        <v>0</v>
      </c>
      <c r="D64" s="4">
        <v>1</v>
      </c>
      <c r="E64" s="4">
        <v>227</v>
      </c>
      <c r="F64" s="4">
        <f>ROUND(Source!AX57,O64)</f>
        <v>0</v>
      </c>
      <c r="G64" s="4" t="s">
        <v>226</v>
      </c>
      <c r="H64" s="4" t="s">
        <v>227</v>
      </c>
      <c r="I64" s="4"/>
      <c r="J64" s="4"/>
      <c r="K64" s="4">
        <v>227</v>
      </c>
      <c r="L64" s="4">
        <v>6</v>
      </c>
      <c r="M64" s="4">
        <v>3</v>
      </c>
      <c r="N64" s="4" t="s">
        <v>3</v>
      </c>
      <c r="O64" s="4">
        <v>0</v>
      </c>
      <c r="P64" s="4"/>
    </row>
    <row r="65" spans="1:16" ht="12.75">
      <c r="A65" s="4">
        <v>50</v>
      </c>
      <c r="B65" s="4">
        <v>0</v>
      </c>
      <c r="C65" s="4">
        <v>0</v>
      </c>
      <c r="D65" s="4">
        <v>1</v>
      </c>
      <c r="E65" s="4">
        <v>228</v>
      </c>
      <c r="F65" s="4">
        <f>ROUND(Source!AY57,O65)</f>
        <v>439641</v>
      </c>
      <c r="G65" s="4" t="s">
        <v>228</v>
      </c>
      <c r="H65" s="4" t="s">
        <v>229</v>
      </c>
      <c r="I65" s="4"/>
      <c r="J65" s="4"/>
      <c r="K65" s="4">
        <v>228</v>
      </c>
      <c r="L65" s="4">
        <v>7</v>
      </c>
      <c r="M65" s="4">
        <v>3</v>
      </c>
      <c r="N65" s="4" t="s">
        <v>3</v>
      </c>
      <c r="O65" s="4">
        <v>0</v>
      </c>
      <c r="P65" s="4"/>
    </row>
    <row r="66" spans="1:16" ht="12.75">
      <c r="A66" s="4">
        <v>50</v>
      </c>
      <c r="B66" s="4">
        <v>0</v>
      </c>
      <c r="C66" s="4">
        <v>0</v>
      </c>
      <c r="D66" s="4">
        <v>1</v>
      </c>
      <c r="E66" s="4">
        <v>216</v>
      </c>
      <c r="F66" s="4">
        <f>ROUND(Source!AP57,O66)</f>
        <v>0</v>
      </c>
      <c r="G66" s="4" t="s">
        <v>230</v>
      </c>
      <c r="H66" s="4" t="s">
        <v>231</v>
      </c>
      <c r="I66" s="4"/>
      <c r="J66" s="4"/>
      <c r="K66" s="4">
        <v>216</v>
      </c>
      <c r="L66" s="4">
        <v>8</v>
      </c>
      <c r="M66" s="4">
        <v>3</v>
      </c>
      <c r="N66" s="4" t="s">
        <v>3</v>
      </c>
      <c r="O66" s="4">
        <v>0</v>
      </c>
      <c r="P66" s="4"/>
    </row>
    <row r="67" spans="1:16" ht="12.75">
      <c r="A67" s="4">
        <v>50</v>
      </c>
      <c r="B67" s="4">
        <v>0</v>
      </c>
      <c r="C67" s="4">
        <v>0</v>
      </c>
      <c r="D67" s="4">
        <v>1</v>
      </c>
      <c r="E67" s="4">
        <v>223</v>
      </c>
      <c r="F67" s="4">
        <f>ROUND(Source!AQ57,O67)</f>
        <v>0</v>
      </c>
      <c r="G67" s="4" t="s">
        <v>232</v>
      </c>
      <c r="H67" s="4" t="s">
        <v>233</v>
      </c>
      <c r="I67" s="4"/>
      <c r="J67" s="4"/>
      <c r="K67" s="4">
        <v>223</v>
      </c>
      <c r="L67" s="4">
        <v>9</v>
      </c>
      <c r="M67" s="4">
        <v>3</v>
      </c>
      <c r="N67" s="4" t="s">
        <v>3</v>
      </c>
      <c r="O67" s="4">
        <v>0</v>
      </c>
      <c r="P67" s="4"/>
    </row>
    <row r="68" spans="1:16" ht="12.75">
      <c r="A68" s="4">
        <v>50</v>
      </c>
      <c r="B68" s="4">
        <v>0</v>
      </c>
      <c r="C68" s="4">
        <v>0</v>
      </c>
      <c r="D68" s="4">
        <v>1</v>
      </c>
      <c r="E68" s="4">
        <v>229</v>
      </c>
      <c r="F68" s="4">
        <f>ROUND(Source!AZ57,O68)</f>
        <v>0</v>
      </c>
      <c r="G68" s="4" t="s">
        <v>234</v>
      </c>
      <c r="H68" s="4" t="s">
        <v>235</v>
      </c>
      <c r="I68" s="4"/>
      <c r="J68" s="4"/>
      <c r="K68" s="4">
        <v>229</v>
      </c>
      <c r="L68" s="4">
        <v>10</v>
      </c>
      <c r="M68" s="4">
        <v>3</v>
      </c>
      <c r="N68" s="4" t="s">
        <v>3</v>
      </c>
      <c r="O68" s="4">
        <v>0</v>
      </c>
      <c r="P68" s="4"/>
    </row>
    <row r="69" spans="1:16" ht="12.75">
      <c r="A69" s="4">
        <v>50</v>
      </c>
      <c r="B69" s="4">
        <v>1</v>
      </c>
      <c r="C69" s="4">
        <v>0</v>
      </c>
      <c r="D69" s="4">
        <v>1</v>
      </c>
      <c r="E69" s="4">
        <v>203</v>
      </c>
      <c r="F69" s="4">
        <f>ROUND(Source!Q57,O69)</f>
        <v>176857</v>
      </c>
      <c r="G69" s="4" t="s">
        <v>236</v>
      </c>
      <c r="H69" s="4" t="s">
        <v>237</v>
      </c>
      <c r="I69" s="4"/>
      <c r="J69" s="4"/>
      <c r="K69" s="4">
        <v>203</v>
      </c>
      <c r="L69" s="4">
        <v>11</v>
      </c>
      <c r="M69" s="4">
        <v>0</v>
      </c>
      <c r="N69" s="4" t="s">
        <v>3</v>
      </c>
      <c r="O69" s="4">
        <v>0</v>
      </c>
      <c r="P69" s="4"/>
    </row>
    <row r="70" spans="1:16" ht="12.75">
      <c r="A70" s="4">
        <v>50</v>
      </c>
      <c r="B70" s="4">
        <v>0</v>
      </c>
      <c r="C70" s="4">
        <v>0</v>
      </c>
      <c r="D70" s="4">
        <v>1</v>
      </c>
      <c r="E70" s="4">
        <v>204</v>
      </c>
      <c r="F70" s="4">
        <f>ROUND(Source!R57,O70)</f>
        <v>0</v>
      </c>
      <c r="G70" s="4" t="s">
        <v>238</v>
      </c>
      <c r="H70" s="4" t="s">
        <v>239</v>
      </c>
      <c r="I70" s="4"/>
      <c r="J70" s="4"/>
      <c r="K70" s="4">
        <v>204</v>
      </c>
      <c r="L70" s="4">
        <v>12</v>
      </c>
      <c r="M70" s="4">
        <v>3</v>
      </c>
      <c r="N70" s="4" t="s">
        <v>3</v>
      </c>
      <c r="O70" s="4">
        <v>0</v>
      </c>
      <c r="P70" s="4"/>
    </row>
    <row r="71" spans="1:16" ht="12.75">
      <c r="A71" s="4">
        <v>50</v>
      </c>
      <c r="B71" s="4">
        <v>1</v>
      </c>
      <c r="C71" s="4">
        <v>0</v>
      </c>
      <c r="D71" s="4">
        <v>1</v>
      </c>
      <c r="E71" s="4">
        <v>205</v>
      </c>
      <c r="F71" s="4">
        <f>ROUND(Source!S57,O71)</f>
        <v>262808</v>
      </c>
      <c r="G71" s="4" t="s">
        <v>240</v>
      </c>
      <c r="H71" s="4" t="s">
        <v>241</v>
      </c>
      <c r="I71" s="4"/>
      <c r="J71" s="4"/>
      <c r="K71" s="4">
        <v>205</v>
      </c>
      <c r="L71" s="4">
        <v>13</v>
      </c>
      <c r="M71" s="4">
        <v>0</v>
      </c>
      <c r="N71" s="4" t="s">
        <v>3</v>
      </c>
      <c r="O71" s="4">
        <v>0</v>
      </c>
      <c r="P71" s="4"/>
    </row>
    <row r="72" spans="1:16" ht="12.75">
      <c r="A72" s="4">
        <v>50</v>
      </c>
      <c r="B72" s="4">
        <v>0</v>
      </c>
      <c r="C72" s="4">
        <v>0</v>
      </c>
      <c r="D72" s="4">
        <v>1</v>
      </c>
      <c r="E72" s="4">
        <v>214</v>
      </c>
      <c r="F72" s="4">
        <f>ROUND(Source!AS57,O72)</f>
        <v>1209135</v>
      </c>
      <c r="G72" s="4" t="s">
        <v>242</v>
      </c>
      <c r="H72" s="4" t="s">
        <v>243</v>
      </c>
      <c r="I72" s="4"/>
      <c r="J72" s="4"/>
      <c r="K72" s="4">
        <v>214</v>
      </c>
      <c r="L72" s="4">
        <v>14</v>
      </c>
      <c r="M72" s="4">
        <v>3</v>
      </c>
      <c r="N72" s="4" t="s">
        <v>3</v>
      </c>
      <c r="O72" s="4">
        <v>0</v>
      </c>
      <c r="P72" s="4"/>
    </row>
    <row r="73" spans="1:16" ht="12.75">
      <c r="A73" s="4">
        <v>50</v>
      </c>
      <c r="B73" s="4">
        <v>0</v>
      </c>
      <c r="C73" s="4">
        <v>0</v>
      </c>
      <c r="D73" s="4">
        <v>1</v>
      </c>
      <c r="E73" s="4">
        <v>215</v>
      </c>
      <c r="F73" s="4">
        <f>ROUND(Source!AT57,O73)</f>
        <v>0</v>
      </c>
      <c r="G73" s="4" t="s">
        <v>244</v>
      </c>
      <c r="H73" s="4" t="s">
        <v>245</v>
      </c>
      <c r="I73" s="4"/>
      <c r="J73" s="4"/>
      <c r="K73" s="4">
        <v>215</v>
      </c>
      <c r="L73" s="4">
        <v>15</v>
      </c>
      <c r="M73" s="4">
        <v>3</v>
      </c>
      <c r="N73" s="4" t="s">
        <v>3</v>
      </c>
      <c r="O73" s="4">
        <v>0</v>
      </c>
      <c r="P73" s="4"/>
    </row>
    <row r="74" spans="1:16" ht="12.75">
      <c r="A74" s="4">
        <v>50</v>
      </c>
      <c r="B74" s="4">
        <v>0</v>
      </c>
      <c r="C74" s="4">
        <v>0</v>
      </c>
      <c r="D74" s="4">
        <v>1</v>
      </c>
      <c r="E74" s="4">
        <v>217</v>
      </c>
      <c r="F74" s="4">
        <f>ROUND(Source!AU57,O74)</f>
        <v>0</v>
      </c>
      <c r="G74" s="4" t="s">
        <v>246</v>
      </c>
      <c r="H74" s="4" t="s">
        <v>247</v>
      </c>
      <c r="I74" s="4"/>
      <c r="J74" s="4"/>
      <c r="K74" s="4">
        <v>217</v>
      </c>
      <c r="L74" s="4">
        <v>16</v>
      </c>
      <c r="M74" s="4">
        <v>3</v>
      </c>
      <c r="N74" s="4" t="s">
        <v>3</v>
      </c>
      <c r="O74" s="4">
        <v>0</v>
      </c>
      <c r="P74" s="4"/>
    </row>
    <row r="75" spans="1:16" ht="12.75">
      <c r="A75" s="4">
        <v>50</v>
      </c>
      <c r="B75" s="4">
        <v>0</v>
      </c>
      <c r="C75" s="4">
        <v>0</v>
      </c>
      <c r="D75" s="4">
        <v>1</v>
      </c>
      <c r="E75" s="4">
        <v>206</v>
      </c>
      <c r="F75" s="4">
        <f>ROUND(Source!T57,O75)</f>
        <v>0</v>
      </c>
      <c r="G75" s="4" t="s">
        <v>248</v>
      </c>
      <c r="H75" s="4" t="s">
        <v>249</v>
      </c>
      <c r="I75" s="4"/>
      <c r="J75" s="4"/>
      <c r="K75" s="4">
        <v>206</v>
      </c>
      <c r="L75" s="4">
        <v>17</v>
      </c>
      <c r="M75" s="4">
        <v>3</v>
      </c>
      <c r="N75" s="4" t="s">
        <v>3</v>
      </c>
      <c r="O75" s="4">
        <v>0</v>
      </c>
      <c r="P75" s="4"/>
    </row>
    <row r="76" spans="1:16" ht="12.75">
      <c r="A76" s="4">
        <v>50</v>
      </c>
      <c r="B76" s="4">
        <v>0</v>
      </c>
      <c r="C76" s="4">
        <v>0</v>
      </c>
      <c r="D76" s="4">
        <v>1</v>
      </c>
      <c r="E76" s="4">
        <v>207</v>
      </c>
      <c r="F76" s="4">
        <f>Source!U57</f>
        <v>1905.1023310000003</v>
      </c>
      <c r="G76" s="4" t="s">
        <v>250</v>
      </c>
      <c r="H76" s="4" t="s">
        <v>251</v>
      </c>
      <c r="I76" s="4"/>
      <c r="J76" s="4"/>
      <c r="K76" s="4">
        <v>207</v>
      </c>
      <c r="L76" s="4">
        <v>18</v>
      </c>
      <c r="M76" s="4">
        <v>3</v>
      </c>
      <c r="N76" s="4" t="s">
        <v>3</v>
      </c>
      <c r="O76" s="4">
        <v>-1</v>
      </c>
      <c r="P76" s="4"/>
    </row>
    <row r="77" spans="1:16" ht="12.75">
      <c r="A77" s="4">
        <v>50</v>
      </c>
      <c r="B77" s="4">
        <v>0</v>
      </c>
      <c r="C77" s="4">
        <v>0</v>
      </c>
      <c r="D77" s="4">
        <v>1</v>
      </c>
      <c r="E77" s="4">
        <v>208</v>
      </c>
      <c r="F77" s="4">
        <f>Source!V57</f>
        <v>259.42352199999993</v>
      </c>
      <c r="G77" s="4" t="s">
        <v>252</v>
      </c>
      <c r="H77" s="4" t="s">
        <v>253</v>
      </c>
      <c r="I77" s="4"/>
      <c r="J77" s="4"/>
      <c r="K77" s="4">
        <v>208</v>
      </c>
      <c r="L77" s="4">
        <v>19</v>
      </c>
      <c r="M77" s="4">
        <v>3</v>
      </c>
      <c r="N77" s="4" t="s">
        <v>3</v>
      </c>
      <c r="O77" s="4">
        <v>-1</v>
      </c>
      <c r="P77" s="4"/>
    </row>
    <row r="78" spans="1:16" ht="12.75">
      <c r="A78" s="4">
        <v>50</v>
      </c>
      <c r="B78" s="4">
        <v>0</v>
      </c>
      <c r="C78" s="4">
        <v>0</v>
      </c>
      <c r="D78" s="4">
        <v>1</v>
      </c>
      <c r="E78" s="4">
        <v>209</v>
      </c>
      <c r="F78" s="4">
        <f>ROUND(Source!W57,O78)</f>
        <v>0</v>
      </c>
      <c r="G78" s="4" t="s">
        <v>254</v>
      </c>
      <c r="H78" s="4" t="s">
        <v>255</v>
      </c>
      <c r="I78" s="4"/>
      <c r="J78" s="4"/>
      <c r="K78" s="4">
        <v>209</v>
      </c>
      <c r="L78" s="4">
        <v>20</v>
      </c>
      <c r="M78" s="4">
        <v>3</v>
      </c>
      <c r="N78" s="4" t="s">
        <v>3</v>
      </c>
      <c r="O78" s="4">
        <v>0</v>
      </c>
      <c r="P78" s="4"/>
    </row>
    <row r="79" spans="1:16" ht="12.75">
      <c r="A79" s="4">
        <v>50</v>
      </c>
      <c r="B79" s="4">
        <v>1</v>
      </c>
      <c r="C79" s="4">
        <v>0</v>
      </c>
      <c r="D79" s="4">
        <v>1</v>
      </c>
      <c r="E79" s="4">
        <v>210</v>
      </c>
      <c r="F79" s="4">
        <f>ROUND(Source!X57,O79)</f>
        <v>205472</v>
      </c>
      <c r="G79" s="4" t="s">
        <v>256</v>
      </c>
      <c r="H79" s="4" t="s">
        <v>257</v>
      </c>
      <c r="I79" s="4"/>
      <c r="J79" s="4"/>
      <c r="K79" s="4">
        <v>210</v>
      </c>
      <c r="L79" s="4">
        <v>21</v>
      </c>
      <c r="M79" s="4">
        <v>0</v>
      </c>
      <c r="N79" s="4" t="s">
        <v>3</v>
      </c>
      <c r="O79" s="4">
        <v>0</v>
      </c>
      <c r="P79" s="4"/>
    </row>
    <row r="80" spans="1:16" ht="12.75">
      <c r="A80" s="4">
        <v>50</v>
      </c>
      <c r="B80" s="4">
        <v>1</v>
      </c>
      <c r="C80" s="4">
        <v>0</v>
      </c>
      <c r="D80" s="4">
        <v>1</v>
      </c>
      <c r="E80" s="4">
        <v>211</v>
      </c>
      <c r="F80" s="4">
        <f>ROUND(Source!Y57,O80)</f>
        <v>124357</v>
      </c>
      <c r="G80" s="4" t="s">
        <v>258</v>
      </c>
      <c r="H80" s="4" t="s">
        <v>259</v>
      </c>
      <c r="I80" s="4"/>
      <c r="J80" s="4"/>
      <c r="K80" s="4">
        <v>211</v>
      </c>
      <c r="L80" s="4">
        <v>22</v>
      </c>
      <c r="M80" s="4">
        <v>0</v>
      </c>
      <c r="N80" s="4" t="s">
        <v>3</v>
      </c>
      <c r="O80" s="4">
        <v>0</v>
      </c>
      <c r="P80" s="4"/>
    </row>
    <row r="81" spans="1:16" ht="12.75">
      <c r="A81" s="4">
        <v>50</v>
      </c>
      <c r="B81" s="4">
        <v>0</v>
      </c>
      <c r="C81" s="4">
        <v>0</v>
      </c>
      <c r="D81" s="4">
        <v>1</v>
      </c>
      <c r="E81" s="4">
        <v>224</v>
      </c>
      <c r="F81" s="4">
        <f>ROUND(Source!AR57,O81)</f>
        <v>1209135</v>
      </c>
      <c r="G81" s="4" t="s">
        <v>260</v>
      </c>
      <c r="H81" s="4" t="s">
        <v>261</v>
      </c>
      <c r="I81" s="4"/>
      <c r="J81" s="4"/>
      <c r="K81" s="4">
        <v>224</v>
      </c>
      <c r="L81" s="4">
        <v>23</v>
      </c>
      <c r="M81" s="4">
        <v>3</v>
      </c>
      <c r="N81" s="4" t="s">
        <v>3</v>
      </c>
      <c r="O81" s="4">
        <v>0</v>
      </c>
      <c r="P81" s="4"/>
    </row>
    <row r="82" spans="1:16" ht="12.75">
      <c r="A82" s="4">
        <v>50</v>
      </c>
      <c r="B82" s="4">
        <v>1</v>
      </c>
      <c r="C82" s="4">
        <v>0</v>
      </c>
      <c r="D82" s="4">
        <v>2</v>
      </c>
      <c r="E82" s="4">
        <v>0</v>
      </c>
      <c r="F82" s="4">
        <f>ROUND(F69+F71+F79+F80,O82)</f>
        <v>769494</v>
      </c>
      <c r="G82" s="4" t="s">
        <v>262</v>
      </c>
      <c r="H82" s="4" t="s">
        <v>263</v>
      </c>
      <c r="I82" s="4"/>
      <c r="J82" s="4"/>
      <c r="K82" s="4">
        <v>212</v>
      </c>
      <c r="L82" s="4">
        <v>24</v>
      </c>
      <c r="M82" s="4">
        <v>0</v>
      </c>
      <c r="N82" s="4" t="s">
        <v>3</v>
      </c>
      <c r="O82" s="4">
        <v>0</v>
      </c>
      <c r="P82" s="4"/>
    </row>
    <row r="83" spans="1:16" ht="12.75">
      <c r="A83" s="4">
        <v>50</v>
      </c>
      <c r="B83" s="4">
        <v>1</v>
      </c>
      <c r="C83" s="4">
        <v>0</v>
      </c>
      <c r="D83" s="4">
        <v>2</v>
      </c>
      <c r="E83" s="4">
        <v>0</v>
      </c>
      <c r="F83" s="4">
        <f>ROUND(F65,O83)</f>
        <v>439641</v>
      </c>
      <c r="G83" s="4" t="s">
        <v>264</v>
      </c>
      <c r="H83" s="4" t="s">
        <v>265</v>
      </c>
      <c r="I83" s="4"/>
      <c r="J83" s="4"/>
      <c r="K83" s="4">
        <v>212</v>
      </c>
      <c r="L83" s="4">
        <v>25</v>
      </c>
      <c r="M83" s="4">
        <v>0</v>
      </c>
      <c r="N83" s="4" t="s">
        <v>3</v>
      </c>
      <c r="O83" s="4">
        <v>0</v>
      </c>
      <c r="P83" s="4"/>
    </row>
    <row r="84" spans="1:16" ht="12.75">
      <c r="A84" s="4">
        <v>50</v>
      </c>
      <c r="B84" s="4">
        <v>1</v>
      </c>
      <c r="C84" s="4">
        <v>0</v>
      </c>
      <c r="D84" s="4">
        <v>2</v>
      </c>
      <c r="E84" s="4">
        <v>0</v>
      </c>
      <c r="F84" s="4">
        <f>ROUND(F83*0.07,O84)</f>
        <v>30775</v>
      </c>
      <c r="G84" s="4" t="s">
        <v>266</v>
      </c>
      <c r="H84" s="4" t="s">
        <v>267</v>
      </c>
      <c r="I84" s="4"/>
      <c r="J84" s="4"/>
      <c r="K84" s="4">
        <v>212</v>
      </c>
      <c r="L84" s="4">
        <v>26</v>
      </c>
      <c r="M84" s="4">
        <v>0</v>
      </c>
      <c r="N84" s="4" t="s">
        <v>3</v>
      </c>
      <c r="O84" s="4">
        <v>0</v>
      </c>
      <c r="P84" s="4"/>
    </row>
    <row r="85" spans="1:16" ht="12.75">
      <c r="A85" s="4">
        <v>50</v>
      </c>
      <c r="B85" s="4">
        <v>1</v>
      </c>
      <c r="C85" s="4">
        <v>0</v>
      </c>
      <c r="D85" s="4">
        <v>2</v>
      </c>
      <c r="E85" s="4">
        <v>0</v>
      </c>
      <c r="F85" s="4">
        <f>ROUND(F82+F60+F84,O85)</f>
        <v>1239910</v>
      </c>
      <c r="G85" s="4" t="s">
        <v>268</v>
      </c>
      <c r="H85" s="4" t="s">
        <v>269</v>
      </c>
      <c r="I85" s="4"/>
      <c r="J85" s="4"/>
      <c r="K85" s="4">
        <v>212</v>
      </c>
      <c r="L85" s="4">
        <v>27</v>
      </c>
      <c r="M85" s="4">
        <v>0</v>
      </c>
      <c r="N85" s="4" t="s">
        <v>3</v>
      </c>
      <c r="O85" s="4">
        <v>0</v>
      </c>
      <c r="P85" s="4"/>
    </row>
    <row r="86" spans="1:16" ht="12.75">
      <c r="A86" s="4">
        <v>50</v>
      </c>
      <c r="B86" s="4">
        <v>1</v>
      </c>
      <c r="C86" s="4">
        <v>0</v>
      </c>
      <c r="D86" s="4">
        <v>2</v>
      </c>
      <c r="E86" s="4">
        <v>0</v>
      </c>
      <c r="F86" s="4">
        <f>ROUND(F85*0.18,O86)</f>
        <v>223184</v>
      </c>
      <c r="G86" s="4" t="s">
        <v>270</v>
      </c>
      <c r="H86" s="4" t="s">
        <v>271</v>
      </c>
      <c r="I86" s="4"/>
      <c r="J86" s="4"/>
      <c r="K86" s="4">
        <v>212</v>
      </c>
      <c r="L86" s="4">
        <v>28</v>
      </c>
      <c r="M86" s="4">
        <v>0</v>
      </c>
      <c r="N86" s="4" t="s">
        <v>3</v>
      </c>
      <c r="O86" s="4">
        <v>0</v>
      </c>
      <c r="P86" s="4"/>
    </row>
    <row r="87" spans="1:16" ht="12.75">
      <c r="A87" s="4">
        <v>50</v>
      </c>
      <c r="B87" s="4">
        <v>1</v>
      </c>
      <c r="C87" s="4">
        <v>0</v>
      </c>
      <c r="D87" s="4">
        <v>2</v>
      </c>
      <c r="E87" s="4">
        <v>0</v>
      </c>
      <c r="F87" s="4">
        <f>ROUND(F85+F86,O87)</f>
        <v>1463094</v>
      </c>
      <c r="G87" s="4" t="s">
        <v>272</v>
      </c>
      <c r="H87" s="4" t="s">
        <v>273</v>
      </c>
      <c r="I87" s="4"/>
      <c r="J87" s="4"/>
      <c r="K87" s="4">
        <v>212</v>
      </c>
      <c r="L87" s="4">
        <v>29</v>
      </c>
      <c r="M87" s="4">
        <v>0</v>
      </c>
      <c r="N87" s="4" t="s">
        <v>3</v>
      </c>
      <c r="O87" s="4">
        <v>0</v>
      </c>
      <c r="P87" s="4"/>
    </row>
    <row r="89" spans="1:118" ht="12.75">
      <c r="A89" s="2">
        <v>51</v>
      </c>
      <c r="B89" s="2">
        <f>B12</f>
        <v>139</v>
      </c>
      <c r="C89" s="2">
        <f>A12</f>
        <v>1</v>
      </c>
      <c r="D89" s="2">
        <f>ROW(A12)</f>
        <v>12</v>
      </c>
      <c r="E89" s="2"/>
      <c r="F89" s="2" t="str">
        <f>IF(F12&lt;&gt;"",F12,"")</f>
        <v>Новый объект</v>
      </c>
      <c r="G89" s="2" t="str">
        <f>IF(G12&lt;&gt;"",G12,"")</f>
        <v>изоляция</v>
      </c>
      <c r="H89" s="2"/>
      <c r="I89" s="2"/>
      <c r="J89" s="2"/>
      <c r="K89" s="2"/>
      <c r="L89" s="2"/>
      <c r="M89" s="2"/>
      <c r="N89" s="2"/>
      <c r="O89" s="2">
        <f aca="true" t="shared" si="46" ref="O89:T89">ROUND(O57,0)</f>
        <v>879306</v>
      </c>
      <c r="P89" s="2">
        <f t="shared" si="46"/>
        <v>439641</v>
      </c>
      <c r="Q89" s="2">
        <f t="shared" si="46"/>
        <v>176857</v>
      </c>
      <c r="R89" s="2">
        <f t="shared" si="46"/>
        <v>0</v>
      </c>
      <c r="S89" s="2">
        <f t="shared" si="46"/>
        <v>262808</v>
      </c>
      <c r="T89" s="2">
        <f t="shared" si="46"/>
        <v>0</v>
      </c>
      <c r="U89" s="2">
        <f>U57</f>
        <v>1905.1023310000003</v>
      </c>
      <c r="V89" s="2">
        <f>V57</f>
        <v>259.42352199999993</v>
      </c>
      <c r="W89" s="2">
        <f>ROUND(W57,0)</f>
        <v>0</v>
      </c>
      <c r="X89" s="2">
        <f>ROUND(X57,0)</f>
        <v>205472</v>
      </c>
      <c r="Y89" s="2">
        <f>ROUND(Y57,0)</f>
        <v>124357</v>
      </c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>
        <f aca="true" t="shared" si="47" ref="AO89:AZ89">ROUND(AO57,0)</f>
        <v>0</v>
      </c>
      <c r="AP89" s="2">
        <f t="shared" si="47"/>
        <v>0</v>
      </c>
      <c r="AQ89" s="2">
        <f t="shared" si="47"/>
        <v>0</v>
      </c>
      <c r="AR89" s="2">
        <f t="shared" si="47"/>
        <v>1209135</v>
      </c>
      <c r="AS89" s="2">
        <f t="shared" si="47"/>
        <v>1209135</v>
      </c>
      <c r="AT89" s="2">
        <f t="shared" si="47"/>
        <v>0</v>
      </c>
      <c r="AU89" s="2">
        <f t="shared" si="47"/>
        <v>0</v>
      </c>
      <c r="AV89" s="2">
        <f t="shared" si="47"/>
        <v>439641</v>
      </c>
      <c r="AW89" s="2">
        <f t="shared" si="47"/>
        <v>439641</v>
      </c>
      <c r="AX89" s="2">
        <f t="shared" si="47"/>
        <v>0</v>
      </c>
      <c r="AY89" s="2">
        <f t="shared" si="47"/>
        <v>439641</v>
      </c>
      <c r="AZ89" s="2">
        <f t="shared" si="47"/>
        <v>0</v>
      </c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>
        <v>0</v>
      </c>
    </row>
    <row r="91" spans="1:16" ht="12.75">
      <c r="A91" s="4">
        <v>50</v>
      </c>
      <c r="B91" s="4">
        <v>0</v>
      </c>
      <c r="C91" s="4">
        <v>0</v>
      </c>
      <c r="D91" s="4">
        <v>1</v>
      </c>
      <c r="E91" s="4">
        <v>201</v>
      </c>
      <c r="F91" s="4">
        <f>ROUND(Source!O89,O91)</f>
        <v>879306</v>
      </c>
      <c r="G91" s="4" t="s">
        <v>216</v>
      </c>
      <c r="H91" s="4" t="s">
        <v>217</v>
      </c>
      <c r="I91" s="4"/>
      <c r="J91" s="4"/>
      <c r="K91" s="4">
        <v>201</v>
      </c>
      <c r="L91" s="4">
        <v>1</v>
      </c>
      <c r="M91" s="4">
        <v>3</v>
      </c>
      <c r="N91" s="4" t="s">
        <v>3</v>
      </c>
      <c r="O91" s="4">
        <v>0</v>
      </c>
      <c r="P91" s="4"/>
    </row>
    <row r="92" spans="1:16" ht="12.75">
      <c r="A92" s="4">
        <v>50</v>
      </c>
      <c r="B92" s="4">
        <v>0</v>
      </c>
      <c r="C92" s="4">
        <v>0</v>
      </c>
      <c r="D92" s="4">
        <v>1</v>
      </c>
      <c r="E92" s="4">
        <v>0</v>
      </c>
      <c r="F92" s="4">
        <f>ROUND(Source!AO89,O92)</f>
        <v>0</v>
      </c>
      <c r="G92" s="4" t="s">
        <v>220</v>
      </c>
      <c r="H92" s="4" t="s">
        <v>221</v>
      </c>
      <c r="I92" s="4"/>
      <c r="J92" s="4"/>
      <c r="K92" s="4">
        <v>222</v>
      </c>
      <c r="L92" s="4">
        <v>4</v>
      </c>
      <c r="M92" s="4">
        <v>3</v>
      </c>
      <c r="N92" s="4" t="s">
        <v>3</v>
      </c>
      <c r="O92" s="4">
        <v>0</v>
      </c>
      <c r="P92" s="4"/>
    </row>
    <row r="93" spans="1:16" ht="12.75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ROUND(Source!AV89,O93)</f>
        <v>439641</v>
      </c>
      <c r="G93" s="4" t="s">
        <v>222</v>
      </c>
      <c r="H93" s="4" t="s">
        <v>223</v>
      </c>
      <c r="I93" s="4"/>
      <c r="J93" s="4"/>
      <c r="K93" s="4">
        <v>225</v>
      </c>
      <c r="L93" s="4">
        <v>5</v>
      </c>
      <c r="M93" s="4">
        <v>3</v>
      </c>
      <c r="N93" s="4" t="s">
        <v>3</v>
      </c>
      <c r="O93" s="4">
        <v>0</v>
      </c>
      <c r="P93" s="4"/>
    </row>
    <row r="94" spans="1:16" ht="12.75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ROUND(Source!AW89,O94)</f>
        <v>439641</v>
      </c>
      <c r="G94" s="4" t="s">
        <v>224</v>
      </c>
      <c r="H94" s="4" t="s">
        <v>225</v>
      </c>
      <c r="I94" s="4"/>
      <c r="J94" s="4"/>
      <c r="K94" s="4">
        <v>226</v>
      </c>
      <c r="L94" s="4">
        <v>6</v>
      </c>
      <c r="M94" s="4">
        <v>3</v>
      </c>
      <c r="N94" s="4" t="s">
        <v>3</v>
      </c>
      <c r="O94" s="4">
        <v>0</v>
      </c>
      <c r="P94" s="4"/>
    </row>
    <row r="95" spans="1:16" ht="12.75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ROUND(Source!AX89,O95)</f>
        <v>0</v>
      </c>
      <c r="G95" s="4" t="s">
        <v>226</v>
      </c>
      <c r="H95" s="4" t="s">
        <v>227</v>
      </c>
      <c r="I95" s="4"/>
      <c r="J95" s="4"/>
      <c r="K95" s="4">
        <v>227</v>
      </c>
      <c r="L95" s="4">
        <v>7</v>
      </c>
      <c r="M95" s="4">
        <v>3</v>
      </c>
      <c r="N95" s="4" t="s">
        <v>3</v>
      </c>
      <c r="O95" s="4">
        <v>0</v>
      </c>
      <c r="P95" s="4"/>
    </row>
    <row r="96" spans="1:16" ht="12.75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ROUND(Source!AY89,O96)</f>
        <v>439641</v>
      </c>
      <c r="G96" s="4" t="s">
        <v>228</v>
      </c>
      <c r="H96" s="4" t="s">
        <v>229</v>
      </c>
      <c r="I96" s="4"/>
      <c r="J96" s="4"/>
      <c r="K96" s="4">
        <v>228</v>
      </c>
      <c r="L96" s="4">
        <v>8</v>
      </c>
      <c r="M96" s="4">
        <v>3</v>
      </c>
      <c r="N96" s="4" t="s">
        <v>3</v>
      </c>
      <c r="O96" s="4">
        <v>0</v>
      </c>
      <c r="P96" s="4"/>
    </row>
    <row r="97" spans="1:16" ht="12.75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ROUND(Source!AP89,O97)</f>
        <v>0</v>
      </c>
      <c r="G97" s="4" t="s">
        <v>230</v>
      </c>
      <c r="H97" s="4" t="s">
        <v>231</v>
      </c>
      <c r="I97" s="4"/>
      <c r="J97" s="4"/>
      <c r="K97" s="4">
        <v>216</v>
      </c>
      <c r="L97" s="4">
        <v>9</v>
      </c>
      <c r="M97" s="4">
        <v>3</v>
      </c>
      <c r="N97" s="4" t="s">
        <v>3</v>
      </c>
      <c r="O97" s="4">
        <v>0</v>
      </c>
      <c r="P97" s="4"/>
    </row>
    <row r="98" spans="1:16" ht="12.75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ROUND(Source!AQ89,O98)</f>
        <v>0</v>
      </c>
      <c r="G98" s="4" t="s">
        <v>232</v>
      </c>
      <c r="H98" s="4" t="s">
        <v>233</v>
      </c>
      <c r="I98" s="4"/>
      <c r="J98" s="4"/>
      <c r="K98" s="4">
        <v>223</v>
      </c>
      <c r="L98" s="4">
        <v>10</v>
      </c>
      <c r="M98" s="4">
        <v>3</v>
      </c>
      <c r="N98" s="4" t="s">
        <v>3</v>
      </c>
      <c r="O98" s="4">
        <v>0</v>
      </c>
      <c r="P98" s="4"/>
    </row>
    <row r="99" spans="1:16" ht="12.75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ROUND(Source!AZ89,O99)</f>
        <v>0</v>
      </c>
      <c r="G99" s="4" t="s">
        <v>234</v>
      </c>
      <c r="H99" s="4" t="s">
        <v>235</v>
      </c>
      <c r="I99" s="4"/>
      <c r="J99" s="4"/>
      <c r="K99" s="4">
        <v>229</v>
      </c>
      <c r="L99" s="4">
        <v>11</v>
      </c>
      <c r="M99" s="4">
        <v>3</v>
      </c>
      <c r="N99" s="4" t="s">
        <v>3</v>
      </c>
      <c r="O99" s="4">
        <v>0</v>
      </c>
      <c r="P99" s="4"/>
    </row>
    <row r="100" spans="1:16" ht="12.75">
      <c r="A100" s="4">
        <v>50</v>
      </c>
      <c r="B100" s="4">
        <v>1</v>
      </c>
      <c r="C100" s="4">
        <v>0</v>
      </c>
      <c r="D100" s="4">
        <v>1</v>
      </c>
      <c r="E100" s="4">
        <v>203</v>
      </c>
      <c r="F100" s="4">
        <f>ROUND(Source!Q89,O100)</f>
        <v>176857</v>
      </c>
      <c r="G100" s="4" t="s">
        <v>236</v>
      </c>
      <c r="H100" s="4" t="s">
        <v>237</v>
      </c>
      <c r="I100" s="4"/>
      <c r="J100" s="4"/>
      <c r="K100" s="4">
        <v>203</v>
      </c>
      <c r="L100" s="4">
        <v>12</v>
      </c>
      <c r="M100" s="4">
        <v>0</v>
      </c>
      <c r="N100" s="4" t="s">
        <v>3</v>
      </c>
      <c r="O100" s="4">
        <v>0</v>
      </c>
      <c r="P100" s="4"/>
    </row>
    <row r="101" spans="1:16" ht="12.75">
      <c r="A101" s="4">
        <v>50</v>
      </c>
      <c r="B101" s="4">
        <v>0</v>
      </c>
      <c r="C101" s="4">
        <v>0</v>
      </c>
      <c r="D101" s="4">
        <v>1</v>
      </c>
      <c r="E101" s="4">
        <v>204</v>
      </c>
      <c r="F101" s="4">
        <f>ROUND(Source!R89,O101)</f>
        <v>0</v>
      </c>
      <c r="G101" s="4" t="s">
        <v>238</v>
      </c>
      <c r="H101" s="4" t="s">
        <v>239</v>
      </c>
      <c r="I101" s="4"/>
      <c r="J101" s="4"/>
      <c r="K101" s="4">
        <v>204</v>
      </c>
      <c r="L101" s="4">
        <v>13</v>
      </c>
      <c r="M101" s="4">
        <v>3</v>
      </c>
      <c r="N101" s="4" t="s">
        <v>3</v>
      </c>
      <c r="O101" s="4">
        <v>0</v>
      </c>
      <c r="P101" s="4"/>
    </row>
    <row r="102" spans="1:16" ht="12.75">
      <c r="A102" s="4">
        <v>50</v>
      </c>
      <c r="B102" s="4">
        <v>1</v>
      </c>
      <c r="C102" s="4">
        <v>0</v>
      </c>
      <c r="D102" s="4">
        <v>1</v>
      </c>
      <c r="E102" s="4">
        <v>205</v>
      </c>
      <c r="F102" s="4">
        <f>ROUND(Source!S89,O102)</f>
        <v>262808</v>
      </c>
      <c r="G102" s="4" t="s">
        <v>240</v>
      </c>
      <c r="H102" s="4" t="s">
        <v>241</v>
      </c>
      <c r="I102" s="4"/>
      <c r="J102" s="4"/>
      <c r="K102" s="4">
        <v>205</v>
      </c>
      <c r="L102" s="4">
        <v>14</v>
      </c>
      <c r="M102" s="4">
        <v>0</v>
      </c>
      <c r="N102" s="4" t="s">
        <v>3</v>
      </c>
      <c r="O102" s="4">
        <v>0</v>
      </c>
      <c r="P102" s="4"/>
    </row>
    <row r="103" spans="1:16" ht="12.75">
      <c r="A103" s="4">
        <v>50</v>
      </c>
      <c r="B103" s="4">
        <v>0</v>
      </c>
      <c r="C103" s="4">
        <v>0</v>
      </c>
      <c r="D103" s="4">
        <v>1</v>
      </c>
      <c r="E103" s="4">
        <v>214</v>
      </c>
      <c r="F103" s="4">
        <f>ROUND(Source!AS89,O103)</f>
        <v>1209135</v>
      </c>
      <c r="G103" s="4" t="s">
        <v>242</v>
      </c>
      <c r="H103" s="4" t="s">
        <v>243</v>
      </c>
      <c r="I103" s="4"/>
      <c r="J103" s="4"/>
      <c r="K103" s="4">
        <v>214</v>
      </c>
      <c r="L103" s="4">
        <v>15</v>
      </c>
      <c r="M103" s="4">
        <v>3</v>
      </c>
      <c r="N103" s="4" t="s">
        <v>3</v>
      </c>
      <c r="O103" s="4">
        <v>0</v>
      </c>
      <c r="P103" s="4"/>
    </row>
    <row r="104" spans="1:16" ht="12.75">
      <c r="A104" s="4">
        <v>50</v>
      </c>
      <c r="B104" s="4">
        <v>0</v>
      </c>
      <c r="C104" s="4">
        <v>0</v>
      </c>
      <c r="D104" s="4">
        <v>1</v>
      </c>
      <c r="E104" s="4">
        <v>215</v>
      </c>
      <c r="F104" s="4">
        <f>ROUND(Source!AT89,O104)</f>
        <v>0</v>
      </c>
      <c r="G104" s="4" t="s">
        <v>244</v>
      </c>
      <c r="H104" s="4" t="s">
        <v>245</v>
      </c>
      <c r="I104" s="4"/>
      <c r="J104" s="4"/>
      <c r="K104" s="4">
        <v>215</v>
      </c>
      <c r="L104" s="4">
        <v>16</v>
      </c>
      <c r="M104" s="4">
        <v>3</v>
      </c>
      <c r="N104" s="4" t="s">
        <v>3</v>
      </c>
      <c r="O104" s="4">
        <v>0</v>
      </c>
      <c r="P104" s="4"/>
    </row>
    <row r="105" spans="1:16" ht="12.75">
      <c r="A105" s="4">
        <v>50</v>
      </c>
      <c r="B105" s="4">
        <v>0</v>
      </c>
      <c r="C105" s="4">
        <v>0</v>
      </c>
      <c r="D105" s="4">
        <v>1</v>
      </c>
      <c r="E105" s="4">
        <v>217</v>
      </c>
      <c r="F105" s="4">
        <f>ROUND(Source!AU89,O105)</f>
        <v>0</v>
      </c>
      <c r="G105" s="4" t="s">
        <v>246</v>
      </c>
      <c r="H105" s="4" t="s">
        <v>247</v>
      </c>
      <c r="I105" s="4"/>
      <c r="J105" s="4"/>
      <c r="K105" s="4">
        <v>217</v>
      </c>
      <c r="L105" s="4">
        <v>17</v>
      </c>
      <c r="M105" s="4">
        <v>3</v>
      </c>
      <c r="N105" s="4" t="s">
        <v>3</v>
      </c>
      <c r="O105" s="4">
        <v>0</v>
      </c>
      <c r="P105" s="4"/>
    </row>
    <row r="106" spans="1:16" ht="12.75">
      <c r="A106" s="4">
        <v>50</v>
      </c>
      <c r="B106" s="4">
        <v>0</v>
      </c>
      <c r="C106" s="4">
        <v>0</v>
      </c>
      <c r="D106" s="4">
        <v>1</v>
      </c>
      <c r="E106" s="4">
        <v>206</v>
      </c>
      <c r="F106" s="4">
        <f>ROUND(Source!T89,O106)</f>
        <v>0</v>
      </c>
      <c r="G106" s="4" t="s">
        <v>248</v>
      </c>
      <c r="H106" s="4" t="s">
        <v>249</v>
      </c>
      <c r="I106" s="4"/>
      <c r="J106" s="4"/>
      <c r="K106" s="4">
        <v>206</v>
      </c>
      <c r="L106" s="4">
        <v>18</v>
      </c>
      <c r="M106" s="4">
        <v>3</v>
      </c>
      <c r="N106" s="4" t="s">
        <v>3</v>
      </c>
      <c r="O106" s="4">
        <v>0</v>
      </c>
      <c r="P106" s="4"/>
    </row>
    <row r="107" spans="1:16" ht="12.75">
      <c r="A107" s="4">
        <v>50</v>
      </c>
      <c r="B107" s="4">
        <v>0</v>
      </c>
      <c r="C107" s="4">
        <v>0</v>
      </c>
      <c r="D107" s="4">
        <v>1</v>
      </c>
      <c r="E107" s="4">
        <v>207</v>
      </c>
      <c r="F107" s="4">
        <f>Source!U89</f>
        <v>1905.1023310000003</v>
      </c>
      <c r="G107" s="4" t="s">
        <v>250</v>
      </c>
      <c r="H107" s="4" t="s">
        <v>251</v>
      </c>
      <c r="I107" s="4"/>
      <c r="J107" s="4"/>
      <c r="K107" s="4">
        <v>207</v>
      </c>
      <c r="L107" s="4">
        <v>19</v>
      </c>
      <c r="M107" s="4">
        <v>3</v>
      </c>
      <c r="N107" s="4" t="s">
        <v>3</v>
      </c>
      <c r="O107" s="4">
        <v>-1</v>
      </c>
      <c r="P107" s="4"/>
    </row>
    <row r="108" spans="1:16" ht="12.75">
      <c r="A108" s="4">
        <v>50</v>
      </c>
      <c r="B108" s="4">
        <v>0</v>
      </c>
      <c r="C108" s="4">
        <v>0</v>
      </c>
      <c r="D108" s="4">
        <v>1</v>
      </c>
      <c r="E108" s="4">
        <v>208</v>
      </c>
      <c r="F108" s="4">
        <f>Source!V89</f>
        <v>259.42352199999993</v>
      </c>
      <c r="G108" s="4" t="s">
        <v>252</v>
      </c>
      <c r="H108" s="4" t="s">
        <v>253</v>
      </c>
      <c r="I108" s="4"/>
      <c r="J108" s="4"/>
      <c r="K108" s="4">
        <v>208</v>
      </c>
      <c r="L108" s="4">
        <v>20</v>
      </c>
      <c r="M108" s="4">
        <v>3</v>
      </c>
      <c r="N108" s="4" t="s">
        <v>3</v>
      </c>
      <c r="O108" s="4">
        <v>-1</v>
      </c>
      <c r="P108" s="4"/>
    </row>
    <row r="109" spans="1:16" ht="12.75">
      <c r="A109" s="4">
        <v>50</v>
      </c>
      <c r="B109" s="4">
        <v>0</v>
      </c>
      <c r="C109" s="4">
        <v>0</v>
      </c>
      <c r="D109" s="4">
        <v>1</v>
      </c>
      <c r="E109" s="4">
        <v>209</v>
      </c>
      <c r="F109" s="4">
        <f>ROUND(Source!W89,O109)</f>
        <v>0</v>
      </c>
      <c r="G109" s="4" t="s">
        <v>254</v>
      </c>
      <c r="H109" s="4" t="s">
        <v>255</v>
      </c>
      <c r="I109" s="4"/>
      <c r="J109" s="4"/>
      <c r="K109" s="4">
        <v>209</v>
      </c>
      <c r="L109" s="4">
        <v>21</v>
      </c>
      <c r="M109" s="4">
        <v>3</v>
      </c>
      <c r="N109" s="4" t="s">
        <v>3</v>
      </c>
      <c r="O109" s="4">
        <v>0</v>
      </c>
      <c r="P109" s="4"/>
    </row>
    <row r="110" spans="1:16" ht="12.75">
      <c r="A110" s="4">
        <v>50</v>
      </c>
      <c r="B110" s="4">
        <v>1</v>
      </c>
      <c r="C110" s="4">
        <v>0</v>
      </c>
      <c r="D110" s="4">
        <v>1</v>
      </c>
      <c r="E110" s="4">
        <v>210</v>
      </c>
      <c r="F110" s="4">
        <f>ROUND(Source!X89,O110)</f>
        <v>205472</v>
      </c>
      <c r="G110" s="4" t="s">
        <v>256</v>
      </c>
      <c r="H110" s="4" t="s">
        <v>257</v>
      </c>
      <c r="I110" s="4"/>
      <c r="J110" s="4"/>
      <c r="K110" s="4">
        <v>210</v>
      </c>
      <c r="L110" s="4">
        <v>22</v>
      </c>
      <c r="M110" s="4">
        <v>0</v>
      </c>
      <c r="N110" s="4" t="s">
        <v>3</v>
      </c>
      <c r="O110" s="4">
        <v>0</v>
      </c>
      <c r="P110" s="4"/>
    </row>
    <row r="111" spans="1:16" ht="12.75">
      <c r="A111" s="4">
        <v>50</v>
      </c>
      <c r="B111" s="4">
        <v>1</v>
      </c>
      <c r="C111" s="4">
        <v>0</v>
      </c>
      <c r="D111" s="4">
        <v>1</v>
      </c>
      <c r="E111" s="4">
        <v>211</v>
      </c>
      <c r="F111" s="4">
        <f>ROUND(Source!Y89,O111)</f>
        <v>124357</v>
      </c>
      <c r="G111" s="4" t="s">
        <v>258</v>
      </c>
      <c r="H111" s="4" t="s">
        <v>259</v>
      </c>
      <c r="I111" s="4"/>
      <c r="J111" s="4"/>
      <c r="K111" s="4">
        <v>211</v>
      </c>
      <c r="L111" s="4">
        <v>23</v>
      </c>
      <c r="M111" s="4">
        <v>0</v>
      </c>
      <c r="N111" s="4" t="s">
        <v>3</v>
      </c>
      <c r="O111" s="4">
        <v>0</v>
      </c>
      <c r="P111" s="4"/>
    </row>
    <row r="112" spans="1:16" ht="12.75">
      <c r="A112" s="4">
        <v>50</v>
      </c>
      <c r="B112" s="4">
        <v>0</v>
      </c>
      <c r="C112" s="4">
        <v>0</v>
      </c>
      <c r="D112" s="4">
        <v>1</v>
      </c>
      <c r="E112" s="4">
        <v>224</v>
      </c>
      <c r="F112" s="4">
        <f>ROUND(Source!AR89,O112)</f>
        <v>1209135</v>
      </c>
      <c r="G112" s="4" t="s">
        <v>260</v>
      </c>
      <c r="H112" s="4" t="s">
        <v>261</v>
      </c>
      <c r="I112" s="4"/>
      <c r="J112" s="4"/>
      <c r="K112" s="4">
        <v>224</v>
      </c>
      <c r="L112" s="4">
        <v>24</v>
      </c>
      <c r="M112" s="4">
        <v>3</v>
      </c>
      <c r="N112" s="4" t="s">
        <v>3</v>
      </c>
      <c r="O112" s="4">
        <v>0</v>
      </c>
      <c r="P112" s="4"/>
    </row>
    <row r="113" spans="1:16" ht="12.75">
      <c r="A113" s="4">
        <v>50</v>
      </c>
      <c r="B113" s="4">
        <v>0</v>
      </c>
      <c r="C113" s="4">
        <v>0</v>
      </c>
      <c r="D113" s="4">
        <v>1</v>
      </c>
      <c r="E113" s="4">
        <v>202</v>
      </c>
      <c r="F113" s="4">
        <f>ROUND(Source!P89,O113)</f>
        <v>439641</v>
      </c>
      <c r="G113" s="4" t="s">
        <v>218</v>
      </c>
      <c r="H113" s="4" t="s">
        <v>219</v>
      </c>
      <c r="I113" s="4"/>
      <c r="J113" s="4"/>
      <c r="K113" s="4">
        <v>202</v>
      </c>
      <c r="L113" s="4">
        <v>25</v>
      </c>
      <c r="M113" s="4">
        <v>3</v>
      </c>
      <c r="N113" s="4" t="s">
        <v>3</v>
      </c>
      <c r="O113" s="4">
        <v>0</v>
      </c>
      <c r="P113" s="4"/>
    </row>
    <row r="114" spans="1:16" ht="12.75">
      <c r="A114" s="4">
        <v>50</v>
      </c>
      <c r="B114" s="4">
        <v>1</v>
      </c>
      <c r="C114" s="4">
        <v>0</v>
      </c>
      <c r="D114" s="4">
        <v>2</v>
      </c>
      <c r="E114" s="4">
        <v>0</v>
      </c>
      <c r="F114" s="4">
        <f>ROUND(F100+F102+F110+F111,O114)</f>
        <v>769494</v>
      </c>
      <c r="G114" s="4" t="s">
        <v>262</v>
      </c>
      <c r="H114" s="4" t="s">
        <v>263</v>
      </c>
      <c r="I114" s="4"/>
      <c r="J114" s="4"/>
      <c r="K114" s="4">
        <v>212</v>
      </c>
      <c r="L114" s="4">
        <v>26</v>
      </c>
      <c r="M114" s="4">
        <v>0</v>
      </c>
      <c r="N114" s="4" t="s">
        <v>3</v>
      </c>
      <c r="O114" s="4">
        <v>0</v>
      </c>
      <c r="P114" s="4"/>
    </row>
    <row r="115" spans="1:16" ht="12.75">
      <c r="A115" s="4">
        <v>50</v>
      </c>
      <c r="B115" s="4">
        <v>1</v>
      </c>
      <c r="C115" s="4">
        <v>0</v>
      </c>
      <c r="D115" s="4">
        <v>2</v>
      </c>
      <c r="E115" s="4">
        <v>0</v>
      </c>
      <c r="F115" s="4">
        <f>ROUND(F113*0.07,O115)</f>
        <v>30775</v>
      </c>
      <c r="G115" s="4" t="s">
        <v>266</v>
      </c>
      <c r="H115" s="4" t="s">
        <v>267</v>
      </c>
      <c r="I115" s="4"/>
      <c r="J115" s="4"/>
      <c r="K115" s="4">
        <v>212</v>
      </c>
      <c r="L115" s="4">
        <v>27</v>
      </c>
      <c r="M115" s="4">
        <v>0</v>
      </c>
      <c r="N115" s="4" t="s">
        <v>3</v>
      </c>
      <c r="O115" s="4">
        <v>0</v>
      </c>
      <c r="P115" s="4"/>
    </row>
    <row r="116" spans="1:16" ht="12.75">
      <c r="A116" s="4">
        <v>50</v>
      </c>
      <c r="B116" s="4">
        <v>1</v>
      </c>
      <c r="C116" s="4">
        <v>0</v>
      </c>
      <c r="D116" s="4">
        <v>2</v>
      </c>
      <c r="E116" s="4">
        <v>0</v>
      </c>
      <c r="F116" s="4">
        <f>ROUND(F114+F113+F115,O116)</f>
        <v>1239910</v>
      </c>
      <c r="G116" s="4" t="s">
        <v>268</v>
      </c>
      <c r="H116" s="4" t="s">
        <v>269</v>
      </c>
      <c r="I116" s="4"/>
      <c r="J116" s="4"/>
      <c r="K116" s="4">
        <v>212</v>
      </c>
      <c r="L116" s="4">
        <v>28</v>
      </c>
      <c r="M116" s="4">
        <v>0</v>
      </c>
      <c r="N116" s="4" t="s">
        <v>3</v>
      </c>
      <c r="O116" s="4">
        <v>0</v>
      </c>
      <c r="P116" s="4"/>
    </row>
    <row r="117" spans="1:16" ht="12.75">
      <c r="A117" s="4">
        <v>50</v>
      </c>
      <c r="B117" s="4">
        <v>1</v>
      </c>
      <c r="C117" s="4">
        <v>0</v>
      </c>
      <c r="D117" s="4">
        <v>2</v>
      </c>
      <c r="E117" s="4">
        <v>0</v>
      </c>
      <c r="F117" s="4">
        <f>ROUND(F116*0.18,O117)</f>
        <v>223184</v>
      </c>
      <c r="G117" s="4" t="s">
        <v>270</v>
      </c>
      <c r="H117" s="4" t="s">
        <v>271</v>
      </c>
      <c r="I117" s="4"/>
      <c r="J117" s="4"/>
      <c r="K117" s="4">
        <v>212</v>
      </c>
      <c r="L117" s="4">
        <v>29</v>
      </c>
      <c r="M117" s="4">
        <v>0</v>
      </c>
      <c r="N117" s="4" t="s">
        <v>3</v>
      </c>
      <c r="O117" s="4">
        <v>0</v>
      </c>
      <c r="P117" s="4"/>
    </row>
    <row r="118" spans="1:16" ht="12.75">
      <c r="A118" s="4">
        <v>50</v>
      </c>
      <c r="B118" s="4">
        <v>1</v>
      </c>
      <c r="C118" s="4">
        <v>0</v>
      </c>
      <c r="D118" s="4">
        <v>2</v>
      </c>
      <c r="E118" s="4">
        <v>0</v>
      </c>
      <c r="F118" s="4">
        <f>ROUND(F116+F117,O118)</f>
        <v>1463094</v>
      </c>
      <c r="G118" s="4" t="s">
        <v>272</v>
      </c>
      <c r="H118" s="4" t="s">
        <v>273</v>
      </c>
      <c r="I118" s="4"/>
      <c r="J118" s="4"/>
      <c r="K118" s="4">
        <v>212</v>
      </c>
      <c r="L118" s="4">
        <v>30</v>
      </c>
      <c r="M118" s="4">
        <v>0</v>
      </c>
      <c r="N118" s="4" t="s">
        <v>3</v>
      </c>
      <c r="O118" s="4">
        <v>0</v>
      </c>
      <c r="P118" s="4"/>
    </row>
    <row r="121" spans="1:14" ht="12.75">
      <c r="A121">
        <v>70</v>
      </c>
      <c r="B121">
        <v>1</v>
      </c>
      <c r="D121">
        <v>1</v>
      </c>
      <c r="E121" t="s">
        <v>274</v>
      </c>
      <c r="F121" t="s">
        <v>275</v>
      </c>
      <c r="G121">
        <v>0</v>
      </c>
      <c r="H121">
        <v>0</v>
      </c>
      <c r="I121" t="s">
        <v>276</v>
      </c>
      <c r="J121">
        <v>0</v>
      </c>
      <c r="K121">
        <v>0</v>
      </c>
      <c r="N121">
        <v>0</v>
      </c>
    </row>
    <row r="122" spans="1:14" ht="12.75">
      <c r="A122">
        <v>70</v>
      </c>
      <c r="B122">
        <v>1</v>
      </c>
      <c r="D122">
        <v>2</v>
      </c>
      <c r="E122" t="s">
        <v>277</v>
      </c>
      <c r="F122" t="s">
        <v>278</v>
      </c>
      <c r="G122">
        <v>0</v>
      </c>
      <c r="H122">
        <v>1</v>
      </c>
      <c r="I122" t="s">
        <v>279</v>
      </c>
      <c r="J122">
        <v>0</v>
      </c>
      <c r="K122">
        <v>0</v>
      </c>
      <c r="N122">
        <v>0</v>
      </c>
    </row>
    <row r="123" spans="1:14" ht="12.75">
      <c r="A123">
        <v>70</v>
      </c>
      <c r="B123">
        <v>1</v>
      </c>
      <c r="D123">
        <v>3</v>
      </c>
      <c r="E123" t="s">
        <v>280</v>
      </c>
      <c r="F123" t="s">
        <v>281</v>
      </c>
      <c r="G123">
        <v>0</v>
      </c>
      <c r="H123">
        <v>0</v>
      </c>
      <c r="I123" t="s">
        <v>282</v>
      </c>
      <c r="J123">
        <v>0</v>
      </c>
      <c r="K123">
        <v>0</v>
      </c>
      <c r="N123">
        <v>0</v>
      </c>
    </row>
    <row r="124" spans="1:14" ht="12.75">
      <c r="A124">
        <v>70</v>
      </c>
      <c r="B124">
        <v>1</v>
      </c>
      <c r="D124">
        <v>4</v>
      </c>
      <c r="E124" t="s">
        <v>283</v>
      </c>
      <c r="F124" t="s">
        <v>284</v>
      </c>
      <c r="G124">
        <v>0</v>
      </c>
      <c r="H124">
        <v>0</v>
      </c>
      <c r="I124" t="s">
        <v>285</v>
      </c>
      <c r="J124">
        <v>0</v>
      </c>
      <c r="K124">
        <v>0</v>
      </c>
      <c r="N124">
        <v>0</v>
      </c>
    </row>
    <row r="125" spans="1:14" ht="12.75">
      <c r="A125">
        <v>70</v>
      </c>
      <c r="B125">
        <v>1</v>
      </c>
      <c r="D125">
        <v>5</v>
      </c>
      <c r="E125" t="s">
        <v>286</v>
      </c>
      <c r="F125" t="s">
        <v>287</v>
      </c>
      <c r="G125">
        <v>0</v>
      </c>
      <c r="H125">
        <v>1</v>
      </c>
      <c r="I125" t="s">
        <v>288</v>
      </c>
      <c r="J125">
        <v>0</v>
      </c>
      <c r="K125">
        <v>0</v>
      </c>
      <c r="N125">
        <v>0</v>
      </c>
    </row>
    <row r="126" spans="1:14" ht="12.75">
      <c r="A126">
        <v>70</v>
      </c>
      <c r="B126">
        <v>1</v>
      </c>
      <c r="D126">
        <v>6</v>
      </c>
      <c r="E126" t="s">
        <v>289</v>
      </c>
      <c r="F126" t="s">
        <v>290</v>
      </c>
      <c r="G126">
        <v>0</v>
      </c>
      <c r="H126">
        <v>0</v>
      </c>
      <c r="I126" t="s">
        <v>291</v>
      </c>
      <c r="J126">
        <v>0</v>
      </c>
      <c r="K126">
        <v>0</v>
      </c>
      <c r="N126">
        <v>0</v>
      </c>
    </row>
    <row r="127" spans="1:14" ht="12.75">
      <c r="A127">
        <v>70</v>
      </c>
      <c r="B127">
        <v>1</v>
      </c>
      <c r="D127">
        <v>7</v>
      </c>
      <c r="E127" t="s">
        <v>292</v>
      </c>
      <c r="F127" t="s">
        <v>293</v>
      </c>
      <c r="G127">
        <v>0</v>
      </c>
      <c r="H127">
        <v>0</v>
      </c>
      <c r="I127" t="s">
        <v>294</v>
      </c>
      <c r="J127">
        <v>0</v>
      </c>
      <c r="K127">
        <v>0</v>
      </c>
      <c r="N127">
        <v>0</v>
      </c>
    </row>
    <row r="128" spans="1:14" ht="12.75">
      <c r="A128">
        <v>70</v>
      </c>
      <c r="B128">
        <v>1</v>
      </c>
      <c r="D128">
        <v>8</v>
      </c>
      <c r="E128" t="s">
        <v>295</v>
      </c>
      <c r="F128" t="s">
        <v>296</v>
      </c>
      <c r="G128">
        <v>0</v>
      </c>
      <c r="H128">
        <v>0</v>
      </c>
      <c r="I128" t="s">
        <v>297</v>
      </c>
      <c r="J128">
        <v>0</v>
      </c>
      <c r="K128">
        <v>0</v>
      </c>
      <c r="N128">
        <v>0</v>
      </c>
    </row>
    <row r="129" spans="1:14" ht="12.75">
      <c r="A129">
        <v>70</v>
      </c>
      <c r="B129">
        <v>1</v>
      </c>
      <c r="D129">
        <v>9</v>
      </c>
      <c r="E129" t="s">
        <v>298</v>
      </c>
      <c r="F129" t="s">
        <v>299</v>
      </c>
      <c r="G129">
        <v>0</v>
      </c>
      <c r="H129">
        <v>0</v>
      </c>
      <c r="I129" t="s">
        <v>300</v>
      </c>
      <c r="J129">
        <v>0</v>
      </c>
      <c r="K129">
        <v>0</v>
      </c>
      <c r="N129">
        <v>0</v>
      </c>
    </row>
    <row r="130" spans="1:14" ht="12.75">
      <c r="A130">
        <v>70</v>
      </c>
      <c r="B130">
        <v>1</v>
      </c>
      <c r="D130">
        <v>10</v>
      </c>
      <c r="E130" t="s">
        <v>301</v>
      </c>
      <c r="F130" t="s">
        <v>302</v>
      </c>
      <c r="G130">
        <v>0</v>
      </c>
      <c r="H130">
        <v>0</v>
      </c>
      <c r="I130" t="s">
        <v>303</v>
      </c>
      <c r="J130">
        <v>0</v>
      </c>
      <c r="K130">
        <v>0</v>
      </c>
      <c r="N130">
        <v>0</v>
      </c>
    </row>
    <row r="131" spans="1:14" ht="12.75">
      <c r="A131">
        <v>70</v>
      </c>
      <c r="B131">
        <v>1</v>
      </c>
      <c r="D131">
        <v>1</v>
      </c>
      <c r="E131" t="s">
        <v>304</v>
      </c>
      <c r="F131" t="s">
        <v>305</v>
      </c>
      <c r="G131">
        <v>0.9</v>
      </c>
      <c r="H131">
        <v>0.9</v>
      </c>
      <c r="I131" t="s">
        <v>306</v>
      </c>
      <c r="J131">
        <v>0</v>
      </c>
      <c r="K131">
        <v>0</v>
      </c>
      <c r="N131">
        <v>0</v>
      </c>
    </row>
    <row r="132" spans="1:14" ht="12.75">
      <c r="A132">
        <v>70</v>
      </c>
      <c r="B132">
        <v>1</v>
      </c>
      <c r="D132">
        <v>2</v>
      </c>
      <c r="E132" t="s">
        <v>307</v>
      </c>
      <c r="F132" t="s">
        <v>308</v>
      </c>
      <c r="G132">
        <v>0.85</v>
      </c>
      <c r="H132">
        <v>0.85</v>
      </c>
      <c r="I132" t="s">
        <v>309</v>
      </c>
      <c r="J132">
        <v>0</v>
      </c>
      <c r="K132">
        <v>0</v>
      </c>
      <c r="N132">
        <v>0</v>
      </c>
    </row>
    <row r="133" spans="1:14" ht="12.75">
      <c r="A133">
        <v>70</v>
      </c>
      <c r="B133">
        <v>1</v>
      </c>
      <c r="D133">
        <v>3</v>
      </c>
      <c r="E133" t="s">
        <v>310</v>
      </c>
      <c r="F133" t="s">
        <v>311</v>
      </c>
      <c r="G133">
        <v>0.85</v>
      </c>
      <c r="H133">
        <v>0.85</v>
      </c>
      <c r="I133" t="s">
        <v>312</v>
      </c>
      <c r="J133">
        <v>0</v>
      </c>
      <c r="K133">
        <v>0</v>
      </c>
      <c r="N133">
        <v>0</v>
      </c>
    </row>
    <row r="134" spans="1:14" ht="12.75">
      <c r="A134">
        <v>70</v>
      </c>
      <c r="B134">
        <v>1</v>
      </c>
      <c r="D134">
        <v>4</v>
      </c>
      <c r="E134" t="s">
        <v>313</v>
      </c>
      <c r="F134" t="s">
        <v>314</v>
      </c>
      <c r="G134">
        <v>0.8</v>
      </c>
      <c r="H134">
        <v>0.8</v>
      </c>
      <c r="I134" t="s">
        <v>315</v>
      </c>
      <c r="J134">
        <v>0</v>
      </c>
      <c r="K134">
        <v>0</v>
      </c>
      <c r="N134">
        <v>0</v>
      </c>
    </row>
    <row r="135" spans="1:14" ht="12.75">
      <c r="A135">
        <v>70</v>
      </c>
      <c r="B135">
        <v>1</v>
      </c>
      <c r="D135">
        <v>5</v>
      </c>
      <c r="E135" t="s">
        <v>316</v>
      </c>
      <c r="F135" t="s">
        <v>317</v>
      </c>
      <c r="G135">
        <v>0.94</v>
      </c>
      <c r="H135">
        <v>0.94</v>
      </c>
      <c r="I135" t="s">
        <v>318</v>
      </c>
      <c r="J135">
        <v>0</v>
      </c>
      <c r="K135">
        <v>0</v>
      </c>
      <c r="N135">
        <v>0</v>
      </c>
    </row>
    <row r="137" ht="12.75">
      <c r="A137">
        <v>-1</v>
      </c>
    </row>
    <row r="139" spans="1:15" ht="12.75">
      <c r="A139" s="3">
        <v>75</v>
      </c>
      <c r="B139" s="3" t="s">
        <v>319</v>
      </c>
      <c r="C139" s="3">
        <v>2000</v>
      </c>
      <c r="D139" s="3">
        <v>0</v>
      </c>
      <c r="E139" s="3">
        <v>1</v>
      </c>
      <c r="F139" s="3">
        <v>0</v>
      </c>
      <c r="G139" s="3">
        <v>0</v>
      </c>
      <c r="H139" s="3">
        <v>1</v>
      </c>
      <c r="I139" s="3">
        <v>0</v>
      </c>
      <c r="J139" s="3">
        <v>1</v>
      </c>
      <c r="K139" s="3">
        <v>0</v>
      </c>
      <c r="L139" s="3">
        <v>0</v>
      </c>
      <c r="M139" s="3">
        <v>0</v>
      </c>
      <c r="N139" s="3">
        <v>26994759</v>
      </c>
      <c r="O139" s="3">
        <v>1</v>
      </c>
    </row>
    <row r="143" spans="1:5" ht="12.75">
      <c r="A143">
        <v>65</v>
      </c>
      <c r="C143">
        <v>1</v>
      </c>
      <c r="D143">
        <v>0</v>
      </c>
      <c r="E143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C5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>
        <v>0</v>
      </c>
      <c r="B1" t="s">
        <v>0</v>
      </c>
      <c r="D1" t="s">
        <v>320</v>
      </c>
      <c r="F1">
        <v>0</v>
      </c>
      <c r="G1">
        <v>0</v>
      </c>
      <c r="H1">
        <v>0</v>
      </c>
      <c r="I1" t="s">
        <v>2</v>
      </c>
      <c r="K1">
        <v>1</v>
      </c>
      <c r="L1">
        <v>54746</v>
      </c>
      <c r="M1">
        <v>11</v>
      </c>
    </row>
    <row r="12" spans="1:133" ht="12.75">
      <c r="A12" s="1">
        <v>1</v>
      </c>
      <c r="B12" s="1">
        <v>52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3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1</v>
      </c>
      <c r="BU12" s="1">
        <v>1</v>
      </c>
      <c r="BV12" s="1">
        <v>1</v>
      </c>
      <c r="BW12" s="1">
        <v>1</v>
      </c>
      <c r="BX12" s="1">
        <v>0</v>
      </c>
      <c r="BY12" s="1" t="s">
        <v>3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8712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5" ht="12.75">
      <c r="A14" s="1">
        <v>22</v>
      </c>
      <c r="B14" s="1">
        <v>0</v>
      </c>
      <c r="C14" s="1">
        <v>0</v>
      </c>
      <c r="D14" s="1">
        <v>26994759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63" ht="12.75">
      <c r="A16" s="5">
        <v>3</v>
      </c>
      <c r="B16" s="5">
        <v>1</v>
      </c>
      <c r="C16" s="5" t="s">
        <v>11</v>
      </c>
      <c r="D16" s="5" t="s">
        <v>11</v>
      </c>
      <c r="E16" s="6">
        <v>1209.135</v>
      </c>
      <c r="F16" s="6">
        <v>0</v>
      </c>
      <c r="G16" s="6">
        <v>0</v>
      </c>
      <c r="H16" s="6">
        <v>0</v>
      </c>
      <c r="I16" s="6">
        <v>1209.135</v>
      </c>
      <c r="J16" s="6">
        <v>262.808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879306</v>
      </c>
      <c r="AU16" s="6">
        <v>439641</v>
      </c>
      <c r="AW16" s="6">
        <v>0</v>
      </c>
      <c r="AX16" s="6">
        <v>0</v>
      </c>
      <c r="AY16" s="6">
        <v>176857</v>
      </c>
      <c r="AZ16" s="6">
        <v>0</v>
      </c>
      <c r="BA16" s="6">
        <v>262808</v>
      </c>
      <c r="BB16" s="6">
        <v>1209135</v>
      </c>
      <c r="BC16" s="6">
        <v>0</v>
      </c>
      <c r="BD16" s="6">
        <v>0</v>
      </c>
      <c r="BE16" s="6">
        <v>0</v>
      </c>
      <c r="BF16" s="6">
        <v>1905.1023310000005</v>
      </c>
      <c r="BG16" s="6">
        <v>259.423522</v>
      </c>
      <c r="BH16" s="6">
        <v>0</v>
      </c>
      <c r="BI16" s="6">
        <v>205472</v>
      </c>
      <c r="BJ16" s="6">
        <v>124357</v>
      </c>
      <c r="BK16" s="6">
        <v>1209135</v>
      </c>
    </row>
    <row r="18" spans="1:19" ht="12.75">
      <c r="A18">
        <v>51</v>
      </c>
      <c r="E18" s="7">
        <v>1209.135</v>
      </c>
      <c r="F18" s="7">
        <v>0</v>
      </c>
      <c r="G18" s="7">
        <v>0</v>
      </c>
      <c r="H18" s="7">
        <v>0</v>
      </c>
      <c r="I18" s="7">
        <v>1209.135</v>
      </c>
      <c r="J18" s="7">
        <v>262.808</v>
      </c>
      <c r="K18" s="7"/>
      <c r="L18" s="7"/>
      <c r="M18" s="7"/>
      <c r="N18" s="7"/>
      <c r="O18" s="7"/>
      <c r="P18" s="7"/>
      <c r="Q18" s="7"/>
      <c r="R18" s="7"/>
      <c r="S18" s="7"/>
    </row>
    <row r="20" spans="1:16" ht="12.75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879306</v>
      </c>
      <c r="G20" s="4" t="s">
        <v>216</v>
      </c>
      <c r="H20" s="4" t="s">
        <v>217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0</v>
      </c>
      <c r="P20" s="4"/>
    </row>
    <row r="21" spans="1:16" ht="12.75">
      <c r="A21" s="4">
        <v>50</v>
      </c>
      <c r="B21" s="4">
        <v>0</v>
      </c>
      <c r="C21" s="4">
        <v>0</v>
      </c>
      <c r="D21" s="4">
        <v>1</v>
      </c>
      <c r="E21" s="4">
        <v>0</v>
      </c>
      <c r="F21" s="4">
        <v>0</v>
      </c>
      <c r="G21" s="4" t="s">
        <v>220</v>
      </c>
      <c r="H21" s="4" t="s">
        <v>221</v>
      </c>
      <c r="I21" s="4"/>
      <c r="J21" s="4"/>
      <c r="K21" s="4">
        <v>222</v>
      </c>
      <c r="L21" s="4">
        <v>4</v>
      </c>
      <c r="M21" s="4">
        <v>3</v>
      </c>
      <c r="N21" s="4" t="s">
        <v>3</v>
      </c>
      <c r="O21" s="4">
        <v>0</v>
      </c>
      <c r="P21" s="4"/>
    </row>
    <row r="22" spans="1:16" ht="12.75">
      <c r="A22" s="4">
        <v>50</v>
      </c>
      <c r="B22" s="4">
        <v>0</v>
      </c>
      <c r="C22" s="4">
        <v>0</v>
      </c>
      <c r="D22" s="4">
        <v>1</v>
      </c>
      <c r="E22" s="4">
        <v>225</v>
      </c>
      <c r="F22" s="4">
        <v>439641</v>
      </c>
      <c r="G22" s="4" t="s">
        <v>222</v>
      </c>
      <c r="H22" s="4" t="s">
        <v>223</v>
      </c>
      <c r="I22" s="4"/>
      <c r="J22" s="4"/>
      <c r="K22" s="4">
        <v>225</v>
      </c>
      <c r="L22" s="4">
        <v>5</v>
      </c>
      <c r="M22" s="4">
        <v>3</v>
      </c>
      <c r="N22" s="4" t="s">
        <v>3</v>
      </c>
      <c r="O22" s="4">
        <v>0</v>
      </c>
      <c r="P22" s="4"/>
    </row>
    <row r="23" spans="1:16" ht="12.75">
      <c r="A23" s="4">
        <v>50</v>
      </c>
      <c r="B23" s="4">
        <v>0</v>
      </c>
      <c r="C23" s="4">
        <v>0</v>
      </c>
      <c r="D23" s="4">
        <v>1</v>
      </c>
      <c r="E23" s="4">
        <v>226</v>
      </c>
      <c r="F23" s="4">
        <v>439641</v>
      </c>
      <c r="G23" s="4" t="s">
        <v>224</v>
      </c>
      <c r="H23" s="4" t="s">
        <v>225</v>
      </c>
      <c r="I23" s="4"/>
      <c r="J23" s="4"/>
      <c r="K23" s="4">
        <v>226</v>
      </c>
      <c r="L23" s="4">
        <v>6</v>
      </c>
      <c r="M23" s="4">
        <v>3</v>
      </c>
      <c r="N23" s="4" t="s">
        <v>3</v>
      </c>
      <c r="O23" s="4">
        <v>0</v>
      </c>
      <c r="P23" s="4"/>
    </row>
    <row r="24" spans="1:16" ht="12.75">
      <c r="A24" s="4">
        <v>50</v>
      </c>
      <c r="B24" s="4">
        <v>0</v>
      </c>
      <c r="C24" s="4">
        <v>0</v>
      </c>
      <c r="D24" s="4">
        <v>1</v>
      </c>
      <c r="E24" s="4">
        <v>227</v>
      </c>
      <c r="F24" s="4">
        <v>0</v>
      </c>
      <c r="G24" s="4" t="s">
        <v>226</v>
      </c>
      <c r="H24" s="4" t="s">
        <v>227</v>
      </c>
      <c r="I24" s="4"/>
      <c r="J24" s="4"/>
      <c r="K24" s="4">
        <v>227</v>
      </c>
      <c r="L24" s="4">
        <v>7</v>
      </c>
      <c r="M24" s="4">
        <v>3</v>
      </c>
      <c r="N24" s="4" t="s">
        <v>3</v>
      </c>
      <c r="O24" s="4">
        <v>0</v>
      </c>
      <c r="P24" s="4"/>
    </row>
    <row r="25" spans="1:16" ht="12.75">
      <c r="A25" s="4">
        <v>50</v>
      </c>
      <c r="B25" s="4">
        <v>0</v>
      </c>
      <c r="C25" s="4">
        <v>0</v>
      </c>
      <c r="D25" s="4">
        <v>1</v>
      </c>
      <c r="E25" s="4">
        <v>228</v>
      </c>
      <c r="F25" s="4">
        <v>439641</v>
      </c>
      <c r="G25" s="4" t="s">
        <v>228</v>
      </c>
      <c r="H25" s="4" t="s">
        <v>229</v>
      </c>
      <c r="I25" s="4"/>
      <c r="J25" s="4"/>
      <c r="K25" s="4">
        <v>228</v>
      </c>
      <c r="L25" s="4">
        <v>8</v>
      </c>
      <c r="M25" s="4">
        <v>3</v>
      </c>
      <c r="N25" s="4" t="s">
        <v>3</v>
      </c>
      <c r="O25" s="4">
        <v>0</v>
      </c>
      <c r="P25" s="4"/>
    </row>
    <row r="26" spans="1:16" ht="12.75">
      <c r="A26" s="4">
        <v>50</v>
      </c>
      <c r="B26" s="4">
        <v>0</v>
      </c>
      <c r="C26" s="4">
        <v>0</v>
      </c>
      <c r="D26" s="4">
        <v>1</v>
      </c>
      <c r="E26" s="4">
        <v>216</v>
      </c>
      <c r="F26" s="4">
        <v>0</v>
      </c>
      <c r="G26" s="4" t="s">
        <v>230</v>
      </c>
      <c r="H26" s="4" t="s">
        <v>231</v>
      </c>
      <c r="I26" s="4"/>
      <c r="J26" s="4"/>
      <c r="K26" s="4">
        <v>216</v>
      </c>
      <c r="L26" s="4">
        <v>9</v>
      </c>
      <c r="M26" s="4">
        <v>3</v>
      </c>
      <c r="N26" s="4" t="s">
        <v>3</v>
      </c>
      <c r="O26" s="4">
        <v>0</v>
      </c>
      <c r="P26" s="4"/>
    </row>
    <row r="27" spans="1:16" ht="12.75">
      <c r="A27" s="4">
        <v>50</v>
      </c>
      <c r="B27" s="4">
        <v>0</v>
      </c>
      <c r="C27" s="4">
        <v>0</v>
      </c>
      <c r="D27" s="4">
        <v>1</v>
      </c>
      <c r="E27" s="4">
        <v>223</v>
      </c>
      <c r="F27" s="4">
        <v>0</v>
      </c>
      <c r="G27" s="4" t="s">
        <v>232</v>
      </c>
      <c r="H27" s="4" t="s">
        <v>233</v>
      </c>
      <c r="I27" s="4"/>
      <c r="J27" s="4"/>
      <c r="K27" s="4">
        <v>223</v>
      </c>
      <c r="L27" s="4">
        <v>10</v>
      </c>
      <c r="M27" s="4">
        <v>3</v>
      </c>
      <c r="N27" s="4" t="s">
        <v>3</v>
      </c>
      <c r="O27" s="4">
        <v>0</v>
      </c>
      <c r="P27" s="4"/>
    </row>
    <row r="28" spans="1:16" ht="12.75">
      <c r="A28" s="4">
        <v>50</v>
      </c>
      <c r="B28" s="4">
        <v>0</v>
      </c>
      <c r="C28" s="4">
        <v>0</v>
      </c>
      <c r="D28" s="4">
        <v>1</v>
      </c>
      <c r="E28" s="4">
        <v>229</v>
      </c>
      <c r="F28" s="4">
        <v>0</v>
      </c>
      <c r="G28" s="4" t="s">
        <v>234</v>
      </c>
      <c r="H28" s="4" t="s">
        <v>235</v>
      </c>
      <c r="I28" s="4"/>
      <c r="J28" s="4"/>
      <c r="K28" s="4">
        <v>229</v>
      </c>
      <c r="L28" s="4">
        <v>11</v>
      </c>
      <c r="M28" s="4">
        <v>3</v>
      </c>
      <c r="N28" s="4" t="s">
        <v>3</v>
      </c>
      <c r="O28" s="4">
        <v>0</v>
      </c>
      <c r="P28" s="4"/>
    </row>
    <row r="29" spans="1:16" ht="12.75">
      <c r="A29" s="4">
        <v>50</v>
      </c>
      <c r="B29" s="4">
        <v>1</v>
      </c>
      <c r="C29" s="4">
        <v>0</v>
      </c>
      <c r="D29" s="4">
        <v>1</v>
      </c>
      <c r="E29" s="4">
        <v>203</v>
      </c>
      <c r="F29" s="4">
        <v>176857</v>
      </c>
      <c r="G29" s="4" t="s">
        <v>236</v>
      </c>
      <c r="H29" s="4" t="s">
        <v>237</v>
      </c>
      <c r="I29" s="4"/>
      <c r="J29" s="4"/>
      <c r="K29" s="4">
        <v>203</v>
      </c>
      <c r="L29" s="4">
        <v>12</v>
      </c>
      <c r="M29" s="4">
        <v>0</v>
      </c>
      <c r="N29" s="4" t="s">
        <v>3</v>
      </c>
      <c r="O29" s="4">
        <v>0</v>
      </c>
      <c r="P29" s="4"/>
    </row>
    <row r="30" spans="1:16" ht="12.75">
      <c r="A30" s="4">
        <v>50</v>
      </c>
      <c r="B30" s="4">
        <v>0</v>
      </c>
      <c r="C30" s="4">
        <v>0</v>
      </c>
      <c r="D30" s="4">
        <v>1</v>
      </c>
      <c r="E30" s="4">
        <v>204</v>
      </c>
      <c r="F30" s="4">
        <v>0</v>
      </c>
      <c r="G30" s="4" t="s">
        <v>238</v>
      </c>
      <c r="H30" s="4" t="s">
        <v>239</v>
      </c>
      <c r="I30" s="4"/>
      <c r="J30" s="4"/>
      <c r="K30" s="4">
        <v>204</v>
      </c>
      <c r="L30" s="4">
        <v>13</v>
      </c>
      <c r="M30" s="4">
        <v>3</v>
      </c>
      <c r="N30" s="4" t="s">
        <v>3</v>
      </c>
      <c r="O30" s="4">
        <v>0</v>
      </c>
      <c r="P30" s="4"/>
    </row>
    <row r="31" spans="1:16" ht="12.75">
      <c r="A31" s="4">
        <v>50</v>
      </c>
      <c r="B31" s="4">
        <v>1</v>
      </c>
      <c r="C31" s="4">
        <v>0</v>
      </c>
      <c r="D31" s="4">
        <v>1</v>
      </c>
      <c r="E31" s="4">
        <v>205</v>
      </c>
      <c r="F31" s="4">
        <v>262808</v>
      </c>
      <c r="G31" s="4" t="s">
        <v>240</v>
      </c>
      <c r="H31" s="4" t="s">
        <v>241</v>
      </c>
      <c r="I31" s="4"/>
      <c r="J31" s="4"/>
      <c r="K31" s="4">
        <v>205</v>
      </c>
      <c r="L31" s="4">
        <v>14</v>
      </c>
      <c r="M31" s="4">
        <v>0</v>
      </c>
      <c r="N31" s="4" t="s">
        <v>3</v>
      </c>
      <c r="O31" s="4">
        <v>0</v>
      </c>
      <c r="P31" s="4"/>
    </row>
    <row r="32" spans="1:16" ht="12.75">
      <c r="A32" s="4">
        <v>50</v>
      </c>
      <c r="B32" s="4">
        <v>0</v>
      </c>
      <c r="C32" s="4">
        <v>0</v>
      </c>
      <c r="D32" s="4">
        <v>1</v>
      </c>
      <c r="E32" s="4">
        <v>214</v>
      </c>
      <c r="F32" s="4">
        <v>1209135</v>
      </c>
      <c r="G32" s="4" t="s">
        <v>242</v>
      </c>
      <c r="H32" s="4" t="s">
        <v>243</v>
      </c>
      <c r="I32" s="4"/>
      <c r="J32" s="4"/>
      <c r="K32" s="4">
        <v>214</v>
      </c>
      <c r="L32" s="4">
        <v>15</v>
      </c>
      <c r="M32" s="4">
        <v>3</v>
      </c>
      <c r="N32" s="4" t="s">
        <v>3</v>
      </c>
      <c r="O32" s="4">
        <v>0</v>
      </c>
      <c r="P32" s="4"/>
    </row>
    <row r="33" spans="1:16" ht="12.75">
      <c r="A33" s="4">
        <v>50</v>
      </c>
      <c r="B33" s="4">
        <v>0</v>
      </c>
      <c r="C33" s="4">
        <v>0</v>
      </c>
      <c r="D33" s="4">
        <v>1</v>
      </c>
      <c r="E33" s="4">
        <v>215</v>
      </c>
      <c r="F33" s="4">
        <v>0</v>
      </c>
      <c r="G33" s="4" t="s">
        <v>244</v>
      </c>
      <c r="H33" s="4" t="s">
        <v>245</v>
      </c>
      <c r="I33" s="4"/>
      <c r="J33" s="4"/>
      <c r="K33" s="4">
        <v>215</v>
      </c>
      <c r="L33" s="4">
        <v>16</v>
      </c>
      <c r="M33" s="4">
        <v>3</v>
      </c>
      <c r="N33" s="4" t="s">
        <v>3</v>
      </c>
      <c r="O33" s="4">
        <v>0</v>
      </c>
      <c r="P33" s="4"/>
    </row>
    <row r="34" spans="1:16" ht="12.75">
      <c r="A34" s="4">
        <v>50</v>
      </c>
      <c r="B34" s="4">
        <v>0</v>
      </c>
      <c r="C34" s="4">
        <v>0</v>
      </c>
      <c r="D34" s="4">
        <v>1</v>
      </c>
      <c r="E34" s="4">
        <v>217</v>
      </c>
      <c r="F34" s="4">
        <v>0</v>
      </c>
      <c r="G34" s="4" t="s">
        <v>246</v>
      </c>
      <c r="H34" s="4" t="s">
        <v>247</v>
      </c>
      <c r="I34" s="4"/>
      <c r="J34" s="4"/>
      <c r="K34" s="4">
        <v>217</v>
      </c>
      <c r="L34" s="4">
        <v>17</v>
      </c>
      <c r="M34" s="4">
        <v>3</v>
      </c>
      <c r="N34" s="4" t="s">
        <v>3</v>
      </c>
      <c r="O34" s="4">
        <v>0</v>
      </c>
      <c r="P34" s="4"/>
    </row>
    <row r="35" spans="1:16" ht="12.75">
      <c r="A35" s="4">
        <v>50</v>
      </c>
      <c r="B35" s="4">
        <v>0</v>
      </c>
      <c r="C35" s="4">
        <v>0</v>
      </c>
      <c r="D35" s="4">
        <v>1</v>
      </c>
      <c r="E35" s="4">
        <v>206</v>
      </c>
      <c r="F35" s="4">
        <v>0</v>
      </c>
      <c r="G35" s="4" t="s">
        <v>248</v>
      </c>
      <c r="H35" s="4" t="s">
        <v>249</v>
      </c>
      <c r="I35" s="4"/>
      <c r="J35" s="4"/>
      <c r="K35" s="4">
        <v>206</v>
      </c>
      <c r="L35" s="4">
        <v>18</v>
      </c>
      <c r="M35" s="4">
        <v>3</v>
      </c>
      <c r="N35" s="4" t="s">
        <v>3</v>
      </c>
      <c r="O35" s="4">
        <v>0</v>
      </c>
      <c r="P35" s="4"/>
    </row>
    <row r="36" spans="1:16" ht="12.75">
      <c r="A36" s="4">
        <v>50</v>
      </c>
      <c r="B36" s="4">
        <v>0</v>
      </c>
      <c r="C36" s="4">
        <v>0</v>
      </c>
      <c r="D36" s="4">
        <v>1</v>
      </c>
      <c r="E36" s="4">
        <v>207</v>
      </c>
      <c r="F36" s="4">
        <v>1905.1023310000005</v>
      </c>
      <c r="G36" s="4" t="s">
        <v>250</v>
      </c>
      <c r="H36" s="4" t="s">
        <v>251</v>
      </c>
      <c r="I36" s="4"/>
      <c r="J36" s="4"/>
      <c r="K36" s="4">
        <v>207</v>
      </c>
      <c r="L36" s="4">
        <v>19</v>
      </c>
      <c r="M36" s="4">
        <v>3</v>
      </c>
      <c r="N36" s="4" t="s">
        <v>3</v>
      </c>
      <c r="O36" s="4">
        <v>-1</v>
      </c>
      <c r="P36" s="4"/>
    </row>
    <row r="37" spans="1:16" ht="12.75">
      <c r="A37" s="4">
        <v>50</v>
      </c>
      <c r="B37" s="4">
        <v>0</v>
      </c>
      <c r="C37" s="4">
        <v>0</v>
      </c>
      <c r="D37" s="4">
        <v>1</v>
      </c>
      <c r="E37" s="4">
        <v>208</v>
      </c>
      <c r="F37" s="4">
        <v>259.423522</v>
      </c>
      <c r="G37" s="4" t="s">
        <v>252</v>
      </c>
      <c r="H37" s="4" t="s">
        <v>253</v>
      </c>
      <c r="I37" s="4"/>
      <c r="J37" s="4"/>
      <c r="K37" s="4">
        <v>208</v>
      </c>
      <c r="L37" s="4">
        <v>20</v>
      </c>
      <c r="M37" s="4">
        <v>3</v>
      </c>
      <c r="N37" s="4" t="s">
        <v>3</v>
      </c>
      <c r="O37" s="4">
        <v>-1</v>
      </c>
      <c r="P37" s="4"/>
    </row>
    <row r="38" spans="1:16" ht="12.75">
      <c r="A38" s="4">
        <v>50</v>
      </c>
      <c r="B38" s="4">
        <v>0</v>
      </c>
      <c r="C38" s="4">
        <v>0</v>
      </c>
      <c r="D38" s="4">
        <v>1</v>
      </c>
      <c r="E38" s="4">
        <v>209</v>
      </c>
      <c r="F38" s="4">
        <v>0</v>
      </c>
      <c r="G38" s="4" t="s">
        <v>254</v>
      </c>
      <c r="H38" s="4" t="s">
        <v>255</v>
      </c>
      <c r="I38" s="4"/>
      <c r="J38" s="4"/>
      <c r="K38" s="4">
        <v>209</v>
      </c>
      <c r="L38" s="4">
        <v>21</v>
      </c>
      <c r="M38" s="4">
        <v>3</v>
      </c>
      <c r="N38" s="4" t="s">
        <v>3</v>
      </c>
      <c r="O38" s="4">
        <v>0</v>
      </c>
      <c r="P38" s="4"/>
    </row>
    <row r="39" spans="1:16" ht="12.75">
      <c r="A39" s="4">
        <v>50</v>
      </c>
      <c r="B39" s="4">
        <v>1</v>
      </c>
      <c r="C39" s="4">
        <v>0</v>
      </c>
      <c r="D39" s="4">
        <v>1</v>
      </c>
      <c r="E39" s="4">
        <v>210</v>
      </c>
      <c r="F39" s="4">
        <v>205472</v>
      </c>
      <c r="G39" s="4" t="s">
        <v>256</v>
      </c>
      <c r="H39" s="4" t="s">
        <v>257</v>
      </c>
      <c r="I39" s="4"/>
      <c r="J39" s="4"/>
      <c r="K39" s="4">
        <v>210</v>
      </c>
      <c r="L39" s="4">
        <v>22</v>
      </c>
      <c r="M39" s="4">
        <v>0</v>
      </c>
      <c r="N39" s="4" t="s">
        <v>3</v>
      </c>
      <c r="O39" s="4">
        <v>0</v>
      </c>
      <c r="P39" s="4"/>
    </row>
    <row r="40" spans="1:16" ht="12.75">
      <c r="A40" s="4">
        <v>50</v>
      </c>
      <c r="B40" s="4">
        <v>1</v>
      </c>
      <c r="C40" s="4">
        <v>0</v>
      </c>
      <c r="D40" s="4">
        <v>1</v>
      </c>
      <c r="E40" s="4">
        <v>211</v>
      </c>
      <c r="F40" s="4">
        <v>124357</v>
      </c>
      <c r="G40" s="4" t="s">
        <v>258</v>
      </c>
      <c r="H40" s="4" t="s">
        <v>259</v>
      </c>
      <c r="I40" s="4"/>
      <c r="J40" s="4"/>
      <c r="K40" s="4">
        <v>211</v>
      </c>
      <c r="L40" s="4">
        <v>23</v>
      </c>
      <c r="M40" s="4">
        <v>0</v>
      </c>
      <c r="N40" s="4" t="s">
        <v>3</v>
      </c>
      <c r="O40" s="4">
        <v>0</v>
      </c>
      <c r="P40" s="4"/>
    </row>
    <row r="41" spans="1:16" ht="12.75">
      <c r="A41" s="4">
        <v>50</v>
      </c>
      <c r="B41" s="4">
        <v>0</v>
      </c>
      <c r="C41" s="4">
        <v>0</v>
      </c>
      <c r="D41" s="4">
        <v>1</v>
      </c>
      <c r="E41" s="4">
        <v>224</v>
      </c>
      <c r="F41" s="4">
        <v>1209135</v>
      </c>
      <c r="G41" s="4" t="s">
        <v>260</v>
      </c>
      <c r="H41" s="4" t="s">
        <v>261</v>
      </c>
      <c r="I41" s="4"/>
      <c r="J41" s="4"/>
      <c r="K41" s="4">
        <v>224</v>
      </c>
      <c r="L41" s="4">
        <v>24</v>
      </c>
      <c r="M41" s="4">
        <v>3</v>
      </c>
      <c r="N41" s="4" t="s">
        <v>3</v>
      </c>
      <c r="O41" s="4">
        <v>0</v>
      </c>
      <c r="P41" s="4"/>
    </row>
    <row r="42" spans="1:16" ht="12.75">
      <c r="A42" s="4">
        <v>50</v>
      </c>
      <c r="B42" s="4">
        <v>0</v>
      </c>
      <c r="C42" s="4">
        <v>0</v>
      </c>
      <c r="D42" s="4">
        <v>1</v>
      </c>
      <c r="E42" s="4">
        <v>202</v>
      </c>
      <c r="F42" s="4">
        <v>439641</v>
      </c>
      <c r="G42" s="4" t="s">
        <v>218</v>
      </c>
      <c r="H42" s="4" t="s">
        <v>219</v>
      </c>
      <c r="I42" s="4"/>
      <c r="J42" s="4"/>
      <c r="K42" s="4">
        <v>202</v>
      </c>
      <c r="L42" s="4">
        <v>25</v>
      </c>
      <c r="M42" s="4">
        <v>3</v>
      </c>
      <c r="N42" s="4" t="s">
        <v>3</v>
      </c>
      <c r="O42" s="4">
        <v>0</v>
      </c>
      <c r="P42" s="4"/>
    </row>
    <row r="43" spans="1:16" ht="12.75">
      <c r="A43" s="4">
        <v>50</v>
      </c>
      <c r="B43" s="4">
        <v>1</v>
      </c>
      <c r="C43" s="4">
        <v>0</v>
      </c>
      <c r="D43" s="4">
        <v>2</v>
      </c>
      <c r="E43" s="4">
        <v>0</v>
      </c>
      <c r="F43" s="4">
        <v>769494</v>
      </c>
      <c r="G43" s="4" t="s">
        <v>262</v>
      </c>
      <c r="H43" s="4" t="s">
        <v>263</v>
      </c>
      <c r="I43" s="4"/>
      <c r="J43" s="4"/>
      <c r="K43" s="4">
        <v>212</v>
      </c>
      <c r="L43" s="4">
        <v>26</v>
      </c>
      <c r="M43" s="4">
        <v>0</v>
      </c>
      <c r="N43" s="4" t="s">
        <v>3</v>
      </c>
      <c r="O43" s="4">
        <v>0</v>
      </c>
      <c r="P43" s="4"/>
    </row>
    <row r="44" spans="1:16" ht="12.75">
      <c r="A44" s="4">
        <v>50</v>
      </c>
      <c r="B44" s="4">
        <v>1</v>
      </c>
      <c r="C44" s="4">
        <v>0</v>
      </c>
      <c r="D44" s="4">
        <v>2</v>
      </c>
      <c r="E44" s="4">
        <v>0</v>
      </c>
      <c r="F44" s="4">
        <v>30775</v>
      </c>
      <c r="G44" s="4" t="s">
        <v>266</v>
      </c>
      <c r="H44" s="4" t="s">
        <v>267</v>
      </c>
      <c r="I44" s="4"/>
      <c r="J44" s="4"/>
      <c r="K44" s="4">
        <v>212</v>
      </c>
      <c r="L44" s="4">
        <v>27</v>
      </c>
      <c r="M44" s="4">
        <v>0</v>
      </c>
      <c r="N44" s="4" t="s">
        <v>3</v>
      </c>
      <c r="O44" s="4">
        <v>0</v>
      </c>
      <c r="P44" s="4"/>
    </row>
    <row r="45" spans="1:16" ht="12.75">
      <c r="A45" s="4">
        <v>50</v>
      </c>
      <c r="B45" s="4">
        <v>1</v>
      </c>
      <c r="C45" s="4">
        <v>0</v>
      </c>
      <c r="D45" s="4">
        <v>2</v>
      </c>
      <c r="E45" s="4">
        <v>0</v>
      </c>
      <c r="F45" s="4">
        <v>1239910</v>
      </c>
      <c r="G45" s="4" t="s">
        <v>268</v>
      </c>
      <c r="H45" s="4" t="s">
        <v>269</v>
      </c>
      <c r="I45" s="4"/>
      <c r="J45" s="4"/>
      <c r="K45" s="4">
        <v>212</v>
      </c>
      <c r="L45" s="4">
        <v>28</v>
      </c>
      <c r="M45" s="4">
        <v>0</v>
      </c>
      <c r="N45" s="4" t="s">
        <v>3</v>
      </c>
      <c r="O45" s="4">
        <v>0</v>
      </c>
      <c r="P45" s="4"/>
    </row>
    <row r="46" spans="1:16" ht="12.75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223184</v>
      </c>
      <c r="G46" s="4" t="s">
        <v>270</v>
      </c>
      <c r="H46" s="4" t="s">
        <v>271</v>
      </c>
      <c r="I46" s="4"/>
      <c r="J46" s="4"/>
      <c r="K46" s="4">
        <v>212</v>
      </c>
      <c r="L46" s="4">
        <v>29</v>
      </c>
      <c r="M46" s="4">
        <v>0</v>
      </c>
      <c r="N46" s="4" t="s">
        <v>3</v>
      </c>
      <c r="O46" s="4">
        <v>0</v>
      </c>
      <c r="P46" s="4"/>
    </row>
    <row r="47" spans="1:16" ht="12.75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1463094</v>
      </c>
      <c r="G47" s="4" t="s">
        <v>272</v>
      </c>
      <c r="H47" s="4" t="s">
        <v>273</v>
      </c>
      <c r="I47" s="4"/>
      <c r="J47" s="4"/>
      <c r="K47" s="4">
        <v>212</v>
      </c>
      <c r="L47" s="4">
        <v>30</v>
      </c>
      <c r="M47" s="4">
        <v>0</v>
      </c>
      <c r="N47" s="4" t="s">
        <v>3</v>
      </c>
      <c r="O47" s="4">
        <v>0</v>
      </c>
      <c r="P47" s="4"/>
    </row>
    <row r="49" ht="12.75">
      <c r="A49">
        <v>-1</v>
      </c>
    </row>
    <row r="52" spans="1:15" ht="12.75">
      <c r="A52" s="3">
        <v>75</v>
      </c>
      <c r="B52" s="3" t="s">
        <v>319</v>
      </c>
      <c r="C52" s="3">
        <v>2000</v>
      </c>
      <c r="D52" s="3">
        <v>0</v>
      </c>
      <c r="E52" s="3">
        <v>1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26994759</v>
      </c>
      <c r="O52" s="3">
        <v>1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B18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6" ht="12.75">
      <c r="A1">
        <f>ROW(Source!A24)</f>
        <v>24</v>
      </c>
      <c r="B1">
        <v>26994759</v>
      </c>
      <c r="C1">
        <v>26995650</v>
      </c>
      <c r="D1">
        <v>9415735</v>
      </c>
      <c r="E1">
        <v>1</v>
      </c>
      <c r="F1">
        <v>1</v>
      </c>
      <c r="G1">
        <v>1</v>
      </c>
      <c r="H1">
        <v>1</v>
      </c>
      <c r="I1" t="s">
        <v>321</v>
      </c>
      <c r="K1" t="s">
        <v>322</v>
      </c>
      <c r="L1">
        <v>1369</v>
      </c>
      <c r="N1">
        <v>1013</v>
      </c>
      <c r="O1" t="s">
        <v>323</v>
      </c>
      <c r="P1" t="s">
        <v>323</v>
      </c>
      <c r="Q1">
        <v>1</v>
      </c>
      <c r="W1">
        <v>0</v>
      </c>
      <c r="X1">
        <v>-887838387</v>
      </c>
      <c r="Y1">
        <v>120.74999999999999</v>
      </c>
      <c r="AA1">
        <v>0</v>
      </c>
      <c r="AB1">
        <v>0</v>
      </c>
      <c r="AC1">
        <v>0</v>
      </c>
      <c r="AD1">
        <v>133.77</v>
      </c>
      <c r="AE1">
        <v>0</v>
      </c>
      <c r="AF1">
        <v>0</v>
      </c>
      <c r="AG1">
        <v>0</v>
      </c>
      <c r="AH1">
        <v>133.77</v>
      </c>
      <c r="AI1">
        <v>1</v>
      </c>
      <c r="AJ1">
        <v>1</v>
      </c>
      <c r="AK1">
        <v>1</v>
      </c>
      <c r="AL1">
        <v>1</v>
      </c>
      <c r="AN1">
        <v>0</v>
      </c>
      <c r="AO1">
        <v>0</v>
      </c>
      <c r="AP1">
        <v>1</v>
      </c>
      <c r="AQ1">
        <v>1</v>
      </c>
      <c r="AR1">
        <v>0</v>
      </c>
      <c r="AT1">
        <v>105</v>
      </c>
      <c r="AU1" t="s">
        <v>18</v>
      </c>
      <c r="AV1">
        <v>1</v>
      </c>
      <c r="AW1">
        <v>2</v>
      </c>
      <c r="AX1">
        <v>26995662</v>
      </c>
      <c r="AY1">
        <v>2</v>
      </c>
      <c r="AZ1">
        <v>131072</v>
      </c>
      <c r="BA1">
        <v>1</v>
      </c>
      <c r="BB1">
        <v>1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14045.85</v>
      </c>
      <c r="BN1">
        <v>105</v>
      </c>
      <c r="BO1">
        <v>0</v>
      </c>
      <c r="BP1">
        <v>1</v>
      </c>
      <c r="BQ1">
        <v>0</v>
      </c>
      <c r="BR1">
        <v>0</v>
      </c>
      <c r="BS1">
        <v>0</v>
      </c>
      <c r="BT1">
        <v>16152.727499999999</v>
      </c>
      <c r="BU1">
        <v>120.74999999999999</v>
      </c>
      <c r="BV1">
        <v>0</v>
      </c>
      <c r="BW1">
        <v>1</v>
      </c>
      <c r="CX1">
        <f>Y1*Source!I24</f>
        <v>46.851</v>
      </c>
      <c r="CY1">
        <f>AD1</f>
        <v>133.77</v>
      </c>
      <c r="CZ1">
        <f>AH1</f>
        <v>133.77</v>
      </c>
      <c r="DA1">
        <f>AL1</f>
        <v>1</v>
      </c>
      <c r="DB1">
        <v>0</v>
      </c>
    </row>
    <row r="2" spans="1:106" ht="12.75">
      <c r="A2">
        <f>ROW(Source!A24)</f>
        <v>24</v>
      </c>
      <c r="B2">
        <v>26994759</v>
      </c>
      <c r="C2">
        <v>26995650</v>
      </c>
      <c r="D2">
        <v>24313250</v>
      </c>
      <c r="E2">
        <v>1</v>
      </c>
      <c r="F2">
        <v>1</v>
      </c>
      <c r="G2">
        <v>1</v>
      </c>
      <c r="H2">
        <v>2</v>
      </c>
      <c r="I2" t="s">
        <v>324</v>
      </c>
      <c r="J2" t="s">
        <v>325</v>
      </c>
      <c r="K2" t="s">
        <v>326</v>
      </c>
      <c r="L2">
        <v>1368</v>
      </c>
      <c r="N2">
        <v>1011</v>
      </c>
      <c r="O2" t="s">
        <v>327</v>
      </c>
      <c r="P2" t="s">
        <v>327</v>
      </c>
      <c r="Q2">
        <v>1</v>
      </c>
      <c r="W2">
        <v>0</v>
      </c>
      <c r="X2">
        <v>-658462111</v>
      </c>
      <c r="Y2">
        <v>3.625</v>
      </c>
      <c r="AA2">
        <v>0</v>
      </c>
      <c r="AB2">
        <v>11.91</v>
      </c>
      <c r="AC2">
        <v>0</v>
      </c>
      <c r="AD2">
        <v>0</v>
      </c>
      <c r="AE2">
        <v>0</v>
      </c>
      <c r="AF2">
        <v>11.91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0</v>
      </c>
      <c r="AP2">
        <v>1</v>
      </c>
      <c r="AQ2">
        <v>1</v>
      </c>
      <c r="AR2">
        <v>0</v>
      </c>
      <c r="AT2">
        <v>2.9</v>
      </c>
      <c r="AU2" t="s">
        <v>17</v>
      </c>
      <c r="AV2">
        <v>0</v>
      </c>
      <c r="AW2">
        <v>2</v>
      </c>
      <c r="AX2">
        <v>26995663</v>
      </c>
      <c r="AY2">
        <v>2</v>
      </c>
      <c r="AZ2">
        <v>32768</v>
      </c>
      <c r="BA2">
        <v>2</v>
      </c>
      <c r="BB2">
        <v>1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34.539</v>
      </c>
      <c r="BL2">
        <v>0</v>
      </c>
      <c r="BM2">
        <v>0</v>
      </c>
      <c r="BN2">
        <v>0</v>
      </c>
      <c r="BO2">
        <v>0</v>
      </c>
      <c r="BP2">
        <v>1</v>
      </c>
      <c r="BQ2">
        <v>0</v>
      </c>
      <c r="BR2">
        <v>43.17375</v>
      </c>
      <c r="BS2">
        <v>0</v>
      </c>
      <c r="BT2">
        <v>0</v>
      </c>
      <c r="BU2">
        <v>0</v>
      </c>
      <c r="BV2">
        <v>0</v>
      </c>
      <c r="BW2">
        <v>1</v>
      </c>
      <c r="CX2">
        <f>Y2*Source!I24</f>
        <v>1.4065</v>
      </c>
      <c r="CY2">
        <f>AB2</f>
        <v>11.91</v>
      </c>
      <c r="CZ2">
        <f>AF2</f>
        <v>11.91</v>
      </c>
      <c r="DA2">
        <f>AJ2</f>
        <v>1</v>
      </c>
      <c r="DB2">
        <v>0</v>
      </c>
    </row>
    <row r="3" spans="1:106" ht="12.75">
      <c r="A3">
        <f>ROW(Source!A24)</f>
        <v>24</v>
      </c>
      <c r="B3">
        <v>26994759</v>
      </c>
      <c r="C3">
        <v>26995650</v>
      </c>
      <c r="D3">
        <v>24328332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1368</v>
      </c>
      <c r="N3">
        <v>1011</v>
      </c>
      <c r="O3" t="s">
        <v>327</v>
      </c>
      <c r="P3" t="s">
        <v>327</v>
      </c>
      <c r="Q3">
        <v>1</v>
      </c>
      <c r="W3">
        <v>0</v>
      </c>
      <c r="X3">
        <v>196456839</v>
      </c>
      <c r="Y3">
        <v>0.3125</v>
      </c>
      <c r="AA3">
        <v>0</v>
      </c>
      <c r="AB3">
        <v>114.51</v>
      </c>
      <c r="AC3">
        <v>0</v>
      </c>
      <c r="AD3">
        <v>0</v>
      </c>
      <c r="AE3">
        <v>0</v>
      </c>
      <c r="AF3">
        <v>114.51</v>
      </c>
      <c r="AG3">
        <v>0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0</v>
      </c>
      <c r="AP3">
        <v>1</v>
      </c>
      <c r="AQ3">
        <v>1</v>
      </c>
      <c r="AR3">
        <v>0</v>
      </c>
      <c r="AT3">
        <v>0.25</v>
      </c>
      <c r="AU3" t="s">
        <v>17</v>
      </c>
      <c r="AV3">
        <v>0</v>
      </c>
      <c r="AW3">
        <v>2</v>
      </c>
      <c r="AX3">
        <v>26995664</v>
      </c>
      <c r="AY3">
        <v>2</v>
      </c>
      <c r="AZ3">
        <v>32768</v>
      </c>
      <c r="BA3">
        <v>3</v>
      </c>
      <c r="BB3">
        <v>1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28.6275</v>
      </c>
      <c r="BL3">
        <v>0</v>
      </c>
      <c r="BM3">
        <v>0</v>
      </c>
      <c r="BN3">
        <v>0</v>
      </c>
      <c r="BO3">
        <v>0</v>
      </c>
      <c r="BP3">
        <v>1</v>
      </c>
      <c r="BQ3">
        <v>0</v>
      </c>
      <c r="BR3">
        <v>35.784375000000004</v>
      </c>
      <c r="BS3">
        <v>0</v>
      </c>
      <c r="BT3">
        <v>0</v>
      </c>
      <c r="BU3">
        <v>0</v>
      </c>
      <c r="BV3">
        <v>0</v>
      </c>
      <c r="BW3">
        <v>1</v>
      </c>
      <c r="CX3">
        <f>Y3*Source!I24</f>
        <v>0.12125</v>
      </c>
      <c r="CY3">
        <f>AB3</f>
        <v>114.51</v>
      </c>
      <c r="CZ3">
        <f>AF3</f>
        <v>114.51</v>
      </c>
      <c r="DA3">
        <f>AJ3</f>
        <v>1</v>
      </c>
      <c r="DB3">
        <v>0</v>
      </c>
    </row>
    <row r="4" spans="1:106" ht="12.75">
      <c r="A4">
        <f>ROW(Source!A24)</f>
        <v>24</v>
      </c>
      <c r="B4">
        <v>26994759</v>
      </c>
      <c r="C4">
        <v>26995650</v>
      </c>
      <c r="D4">
        <v>24304762</v>
      </c>
      <c r="E4">
        <v>1</v>
      </c>
      <c r="F4">
        <v>1</v>
      </c>
      <c r="G4">
        <v>1</v>
      </c>
      <c r="H4">
        <v>2</v>
      </c>
      <c r="I4" t="s">
        <v>331</v>
      </c>
      <c r="J4" t="s">
        <v>332</v>
      </c>
      <c r="K4" t="s">
        <v>333</v>
      </c>
      <c r="L4">
        <v>1368</v>
      </c>
      <c r="N4">
        <v>1011</v>
      </c>
      <c r="O4" t="s">
        <v>327</v>
      </c>
      <c r="P4" t="s">
        <v>327</v>
      </c>
      <c r="Q4">
        <v>1</v>
      </c>
      <c r="W4">
        <v>0</v>
      </c>
      <c r="X4">
        <v>835932293</v>
      </c>
      <c r="Y4">
        <v>1.625</v>
      </c>
      <c r="AA4">
        <v>0</v>
      </c>
      <c r="AB4">
        <v>8.26</v>
      </c>
      <c r="AC4">
        <v>0</v>
      </c>
      <c r="AD4">
        <v>0</v>
      </c>
      <c r="AE4">
        <v>0</v>
      </c>
      <c r="AF4">
        <v>8.26</v>
      </c>
      <c r="AG4">
        <v>0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0</v>
      </c>
      <c r="AP4">
        <v>1</v>
      </c>
      <c r="AQ4">
        <v>1</v>
      </c>
      <c r="AR4">
        <v>0</v>
      </c>
      <c r="AT4">
        <v>1.3</v>
      </c>
      <c r="AU4" t="s">
        <v>17</v>
      </c>
      <c r="AV4">
        <v>0</v>
      </c>
      <c r="AW4">
        <v>2</v>
      </c>
      <c r="AX4">
        <v>26995665</v>
      </c>
      <c r="AY4">
        <v>2</v>
      </c>
      <c r="AZ4">
        <v>32768</v>
      </c>
      <c r="BA4">
        <v>4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10.738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13.4225</v>
      </c>
      <c r="BS4">
        <v>0</v>
      </c>
      <c r="BT4">
        <v>0</v>
      </c>
      <c r="BU4">
        <v>0</v>
      </c>
      <c r="BV4">
        <v>0</v>
      </c>
      <c r="BW4">
        <v>1</v>
      </c>
      <c r="CX4">
        <f>Y4*Source!I24</f>
        <v>0.6305000000000001</v>
      </c>
      <c r="CY4">
        <f>AB4</f>
        <v>8.26</v>
      </c>
      <c r="CZ4">
        <f>AF4</f>
        <v>8.26</v>
      </c>
      <c r="DA4">
        <f>AJ4</f>
        <v>1</v>
      </c>
      <c r="DB4">
        <v>0</v>
      </c>
    </row>
    <row r="5" spans="1:106" ht="12.75">
      <c r="A5">
        <f>ROW(Source!A24)</f>
        <v>24</v>
      </c>
      <c r="B5">
        <v>26994759</v>
      </c>
      <c r="C5">
        <v>26995650</v>
      </c>
      <c r="D5">
        <v>0</v>
      </c>
      <c r="E5">
        <v>0</v>
      </c>
      <c r="F5">
        <v>1</v>
      </c>
      <c r="G5">
        <v>1</v>
      </c>
      <c r="H5">
        <v>3</v>
      </c>
      <c r="K5" t="s">
        <v>334</v>
      </c>
      <c r="L5">
        <v>1371</v>
      </c>
      <c r="N5">
        <v>1013</v>
      </c>
      <c r="O5" t="s">
        <v>335</v>
      </c>
      <c r="P5" t="s">
        <v>335</v>
      </c>
      <c r="Q5">
        <v>1</v>
      </c>
      <c r="W5">
        <v>0</v>
      </c>
      <c r="X5">
        <v>1501202695</v>
      </c>
      <c r="Y5">
        <v>2.46</v>
      </c>
      <c r="AA5">
        <v>114</v>
      </c>
      <c r="AB5">
        <v>0</v>
      </c>
      <c r="AC5">
        <v>0</v>
      </c>
      <c r="AD5">
        <v>0</v>
      </c>
      <c r="AE5">
        <v>114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2</v>
      </c>
      <c r="AQ5">
        <v>1</v>
      </c>
      <c r="AR5">
        <v>0</v>
      </c>
      <c r="AT5">
        <v>2.46</v>
      </c>
      <c r="AV5">
        <v>0</v>
      </c>
      <c r="AW5">
        <v>1</v>
      </c>
      <c r="AX5">
        <v>-1</v>
      </c>
      <c r="AY5">
        <v>0</v>
      </c>
      <c r="AZ5">
        <v>0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280.44</v>
      </c>
      <c r="BK5">
        <v>0</v>
      </c>
      <c r="BL5">
        <v>0</v>
      </c>
      <c r="BM5">
        <v>0</v>
      </c>
      <c r="BN5">
        <v>0</v>
      </c>
      <c r="BO5">
        <v>0</v>
      </c>
      <c r="BP5">
        <v>1</v>
      </c>
      <c r="BQ5">
        <v>280.44</v>
      </c>
      <c r="BR5">
        <v>0</v>
      </c>
      <c r="BS5">
        <v>0</v>
      </c>
      <c r="BT5">
        <v>0</v>
      </c>
      <c r="BU5">
        <v>0</v>
      </c>
      <c r="BV5">
        <v>0</v>
      </c>
      <c r="BW5">
        <v>1</v>
      </c>
      <c r="CX5">
        <f>Y5*Source!I24</f>
        <v>0.95448</v>
      </c>
      <c r="CY5">
        <f aca="true" t="shared" si="0" ref="CY5:CY11">AA5</f>
        <v>114</v>
      </c>
      <c r="CZ5">
        <f aca="true" t="shared" si="1" ref="CZ5:CZ11">AE5</f>
        <v>114</v>
      </c>
      <c r="DA5">
        <f aca="true" t="shared" si="2" ref="DA5:DA11">AI5</f>
        <v>1</v>
      </c>
      <c r="DB5">
        <v>0</v>
      </c>
    </row>
    <row r="6" spans="1:106" ht="12.75">
      <c r="A6">
        <f>ROW(Source!A24)</f>
        <v>24</v>
      </c>
      <c r="B6">
        <v>26994759</v>
      </c>
      <c r="C6">
        <v>26995650</v>
      </c>
      <c r="D6">
        <v>0</v>
      </c>
      <c r="E6">
        <v>0</v>
      </c>
      <c r="F6">
        <v>1</v>
      </c>
      <c r="G6">
        <v>1</v>
      </c>
      <c r="H6">
        <v>3</v>
      </c>
      <c r="K6" t="s">
        <v>336</v>
      </c>
      <c r="L6">
        <v>1301</v>
      </c>
      <c r="N6">
        <v>1003</v>
      </c>
      <c r="O6" t="s">
        <v>337</v>
      </c>
      <c r="P6" t="s">
        <v>337</v>
      </c>
      <c r="Q6">
        <v>1</v>
      </c>
      <c r="W6">
        <v>0</v>
      </c>
      <c r="X6">
        <v>-271784490</v>
      </c>
      <c r="Y6">
        <v>421</v>
      </c>
      <c r="AA6">
        <v>171.18</v>
      </c>
      <c r="AB6">
        <v>0</v>
      </c>
      <c r="AC6">
        <v>0</v>
      </c>
      <c r="AD6">
        <v>0</v>
      </c>
      <c r="AE6">
        <v>171.18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2</v>
      </c>
      <c r="AQ6">
        <v>1</v>
      </c>
      <c r="AR6">
        <v>0</v>
      </c>
      <c r="AT6">
        <v>421</v>
      </c>
      <c r="AV6">
        <v>0</v>
      </c>
      <c r="AW6">
        <v>1</v>
      </c>
      <c r="AX6">
        <v>-1</v>
      </c>
      <c r="AY6">
        <v>0</v>
      </c>
      <c r="AZ6">
        <v>0</v>
      </c>
      <c r="BB6">
        <v>1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72066.78</v>
      </c>
      <c r="BK6">
        <v>0</v>
      </c>
      <c r="BL6">
        <v>0</v>
      </c>
      <c r="BM6">
        <v>0</v>
      </c>
      <c r="BN6">
        <v>0</v>
      </c>
      <c r="BO6">
        <v>0</v>
      </c>
      <c r="BP6">
        <v>1</v>
      </c>
      <c r="BQ6">
        <v>72066.78</v>
      </c>
      <c r="BR6">
        <v>0</v>
      </c>
      <c r="BS6">
        <v>0</v>
      </c>
      <c r="BT6">
        <v>0</v>
      </c>
      <c r="BU6">
        <v>0</v>
      </c>
      <c r="BV6">
        <v>0</v>
      </c>
      <c r="BW6">
        <v>1</v>
      </c>
      <c r="CX6">
        <f>Y6*Source!I24</f>
        <v>163.348</v>
      </c>
      <c r="CY6">
        <f t="shared" si="0"/>
        <v>171.18</v>
      </c>
      <c r="CZ6">
        <f t="shared" si="1"/>
        <v>171.18</v>
      </c>
      <c r="DA6">
        <f t="shared" si="2"/>
        <v>1</v>
      </c>
      <c r="DB6">
        <v>0</v>
      </c>
    </row>
    <row r="7" spans="1:106" ht="12.75">
      <c r="A7">
        <f>ROW(Source!A24)</f>
        <v>24</v>
      </c>
      <c r="B7">
        <v>26994759</v>
      </c>
      <c r="C7">
        <v>26995650</v>
      </c>
      <c r="D7">
        <v>24328324</v>
      </c>
      <c r="E7">
        <v>1</v>
      </c>
      <c r="F7">
        <v>1</v>
      </c>
      <c r="G7">
        <v>1</v>
      </c>
      <c r="H7">
        <v>3</v>
      </c>
      <c r="I7" t="s">
        <v>338</v>
      </c>
      <c r="J7" t="s">
        <v>339</v>
      </c>
      <c r="K7" t="s">
        <v>340</v>
      </c>
      <c r="L7">
        <v>1346</v>
      </c>
      <c r="N7">
        <v>1009</v>
      </c>
      <c r="O7" t="s">
        <v>341</v>
      </c>
      <c r="P7" t="s">
        <v>341</v>
      </c>
      <c r="Q7">
        <v>1</v>
      </c>
      <c r="W7">
        <v>0</v>
      </c>
      <c r="X7">
        <v>1320966599</v>
      </c>
      <c r="Y7">
        <v>11</v>
      </c>
      <c r="AA7">
        <v>35.59</v>
      </c>
      <c r="AB7">
        <v>0</v>
      </c>
      <c r="AC7">
        <v>0</v>
      </c>
      <c r="AD7">
        <v>0</v>
      </c>
      <c r="AE7">
        <v>35.59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1</v>
      </c>
      <c r="AQ7">
        <v>1</v>
      </c>
      <c r="AR7">
        <v>0</v>
      </c>
      <c r="AT7">
        <v>11</v>
      </c>
      <c r="AV7">
        <v>0</v>
      </c>
      <c r="AW7">
        <v>2</v>
      </c>
      <c r="AX7">
        <v>26995666</v>
      </c>
      <c r="AY7">
        <v>2</v>
      </c>
      <c r="AZ7">
        <v>16384</v>
      </c>
      <c r="BA7">
        <v>5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391.49</v>
      </c>
      <c r="BK7">
        <v>0</v>
      </c>
      <c r="BL7">
        <v>0</v>
      </c>
      <c r="BM7">
        <v>0</v>
      </c>
      <c r="BN7">
        <v>0</v>
      </c>
      <c r="BO7">
        <v>0</v>
      </c>
      <c r="BP7">
        <v>1</v>
      </c>
      <c r="BQ7">
        <v>391.49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CX7">
        <f>Y7*Source!I24</f>
        <v>4.268</v>
      </c>
      <c r="CY7">
        <f t="shared" si="0"/>
        <v>35.59</v>
      </c>
      <c r="CZ7">
        <f t="shared" si="1"/>
        <v>35.59</v>
      </c>
      <c r="DA7">
        <f t="shared" si="2"/>
        <v>1</v>
      </c>
      <c r="DB7">
        <v>0</v>
      </c>
    </row>
    <row r="8" spans="1:106" ht="12.75">
      <c r="A8">
        <f>ROW(Source!A24)</f>
        <v>24</v>
      </c>
      <c r="B8">
        <v>26994759</v>
      </c>
      <c r="C8">
        <v>26995650</v>
      </c>
      <c r="D8">
        <v>24329027</v>
      </c>
      <c r="E8">
        <v>1</v>
      </c>
      <c r="F8">
        <v>1</v>
      </c>
      <c r="G8">
        <v>1</v>
      </c>
      <c r="H8">
        <v>3</v>
      </c>
      <c r="I8" t="s">
        <v>342</v>
      </c>
      <c r="J8" t="s">
        <v>343</v>
      </c>
      <c r="K8" t="s">
        <v>344</v>
      </c>
      <c r="L8">
        <v>1346</v>
      </c>
      <c r="N8">
        <v>1009</v>
      </c>
      <c r="O8" t="s">
        <v>341</v>
      </c>
      <c r="P8" t="s">
        <v>341</v>
      </c>
      <c r="Q8">
        <v>1</v>
      </c>
      <c r="W8">
        <v>0</v>
      </c>
      <c r="X8">
        <v>-245117317</v>
      </c>
      <c r="Y8">
        <v>56</v>
      </c>
      <c r="AA8">
        <v>15.15</v>
      </c>
      <c r="AB8">
        <v>0</v>
      </c>
      <c r="AC8">
        <v>0</v>
      </c>
      <c r="AD8">
        <v>0</v>
      </c>
      <c r="AE8">
        <v>15.15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0</v>
      </c>
      <c r="AP8">
        <v>1</v>
      </c>
      <c r="AQ8">
        <v>1</v>
      </c>
      <c r="AR8">
        <v>0</v>
      </c>
      <c r="AT8">
        <v>56</v>
      </c>
      <c r="AV8">
        <v>0</v>
      </c>
      <c r="AW8">
        <v>2</v>
      </c>
      <c r="AX8">
        <v>26995667</v>
      </c>
      <c r="AY8">
        <v>2</v>
      </c>
      <c r="AZ8">
        <v>16384</v>
      </c>
      <c r="BA8">
        <v>6</v>
      </c>
      <c r="BB8">
        <v>1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848.4</v>
      </c>
      <c r="BK8">
        <v>0</v>
      </c>
      <c r="BL8">
        <v>0</v>
      </c>
      <c r="BM8">
        <v>0</v>
      </c>
      <c r="BN8">
        <v>0</v>
      </c>
      <c r="BO8">
        <v>0</v>
      </c>
      <c r="BP8">
        <v>1</v>
      </c>
      <c r="BQ8">
        <v>848.4</v>
      </c>
      <c r="BR8">
        <v>0</v>
      </c>
      <c r="BS8">
        <v>0</v>
      </c>
      <c r="BT8">
        <v>0</v>
      </c>
      <c r="BU8">
        <v>0</v>
      </c>
      <c r="BV8">
        <v>0</v>
      </c>
      <c r="BW8">
        <v>1</v>
      </c>
      <c r="CX8">
        <f>Y8*Source!I24</f>
        <v>21.728</v>
      </c>
      <c r="CY8">
        <f t="shared" si="0"/>
        <v>15.15</v>
      </c>
      <c r="CZ8">
        <f t="shared" si="1"/>
        <v>15.15</v>
      </c>
      <c r="DA8">
        <f t="shared" si="2"/>
        <v>1</v>
      </c>
      <c r="DB8">
        <v>0</v>
      </c>
    </row>
    <row r="9" spans="1:106" ht="12.75">
      <c r="A9">
        <f>ROW(Source!A24)</f>
        <v>24</v>
      </c>
      <c r="B9">
        <v>26994759</v>
      </c>
      <c r="C9">
        <v>26995650</v>
      </c>
      <c r="D9">
        <v>24329552</v>
      </c>
      <c r="E9">
        <v>1</v>
      </c>
      <c r="F9">
        <v>1</v>
      </c>
      <c r="G9">
        <v>1</v>
      </c>
      <c r="H9">
        <v>3</v>
      </c>
      <c r="I9" t="s">
        <v>345</v>
      </c>
      <c r="J9" t="s">
        <v>346</v>
      </c>
      <c r="K9" t="s">
        <v>347</v>
      </c>
      <c r="L9">
        <v>1327</v>
      </c>
      <c r="N9">
        <v>1005</v>
      </c>
      <c r="O9" t="s">
        <v>348</v>
      </c>
      <c r="P9" t="s">
        <v>348</v>
      </c>
      <c r="Q9">
        <v>1</v>
      </c>
      <c r="W9">
        <v>0</v>
      </c>
      <c r="X9">
        <v>-574873984</v>
      </c>
      <c r="Y9">
        <v>111</v>
      </c>
      <c r="AA9">
        <v>150</v>
      </c>
      <c r="AB9">
        <v>0</v>
      </c>
      <c r="AC9">
        <v>0</v>
      </c>
      <c r="AD9">
        <v>0</v>
      </c>
      <c r="AE9">
        <v>150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0</v>
      </c>
      <c r="AP9">
        <v>1</v>
      </c>
      <c r="AQ9">
        <v>1</v>
      </c>
      <c r="AR9">
        <v>0</v>
      </c>
      <c r="AT9">
        <v>111</v>
      </c>
      <c r="AV9">
        <v>0</v>
      </c>
      <c r="AW9">
        <v>2</v>
      </c>
      <c r="AX9">
        <v>26995671</v>
      </c>
      <c r="AY9">
        <v>2</v>
      </c>
      <c r="AZ9">
        <v>16384</v>
      </c>
      <c r="BA9">
        <v>10</v>
      </c>
      <c r="BB9">
        <v>1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16650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16650</v>
      </c>
      <c r="BR9">
        <v>0</v>
      </c>
      <c r="BS9">
        <v>0</v>
      </c>
      <c r="BT9">
        <v>0</v>
      </c>
      <c r="BU9">
        <v>0</v>
      </c>
      <c r="BV9">
        <v>0</v>
      </c>
      <c r="BW9">
        <v>1</v>
      </c>
      <c r="CX9">
        <f>Y9*Source!I24</f>
        <v>43.068</v>
      </c>
      <c r="CY9">
        <f t="shared" si="0"/>
        <v>150</v>
      </c>
      <c r="CZ9">
        <f t="shared" si="1"/>
        <v>150</v>
      </c>
      <c r="DA9">
        <f t="shared" si="2"/>
        <v>1</v>
      </c>
      <c r="DB9">
        <v>0</v>
      </c>
    </row>
    <row r="10" spans="1:106" ht="12.75">
      <c r="A10">
        <f>ROW(Source!A24)</f>
        <v>24</v>
      </c>
      <c r="B10">
        <v>26994759</v>
      </c>
      <c r="C10">
        <v>26995650</v>
      </c>
      <c r="D10">
        <v>24328395</v>
      </c>
      <c r="E10">
        <v>1</v>
      </c>
      <c r="F10">
        <v>1</v>
      </c>
      <c r="G10">
        <v>1</v>
      </c>
      <c r="H10">
        <v>3</v>
      </c>
      <c r="I10" t="s">
        <v>349</v>
      </c>
      <c r="J10" t="s">
        <v>350</v>
      </c>
      <c r="K10" t="s">
        <v>351</v>
      </c>
      <c r="L10">
        <v>1354</v>
      </c>
      <c r="N10">
        <v>1010</v>
      </c>
      <c r="O10" t="s">
        <v>352</v>
      </c>
      <c r="P10" t="s">
        <v>352</v>
      </c>
      <c r="Q10">
        <v>1</v>
      </c>
      <c r="W10">
        <v>0</v>
      </c>
      <c r="X10">
        <v>654904566</v>
      </c>
      <c r="Y10">
        <v>3132</v>
      </c>
      <c r="AA10">
        <v>0.4</v>
      </c>
      <c r="AB10">
        <v>0</v>
      </c>
      <c r="AC10">
        <v>0</v>
      </c>
      <c r="AD10">
        <v>0</v>
      </c>
      <c r="AE10">
        <v>0.4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0</v>
      </c>
      <c r="AP10">
        <v>1</v>
      </c>
      <c r="AQ10">
        <v>1</v>
      </c>
      <c r="AR10">
        <v>0</v>
      </c>
      <c r="AT10">
        <v>3132</v>
      </c>
      <c r="AV10">
        <v>0</v>
      </c>
      <c r="AW10">
        <v>2</v>
      </c>
      <c r="AX10">
        <v>26995672</v>
      </c>
      <c r="AY10">
        <v>2</v>
      </c>
      <c r="AZ10">
        <v>22528</v>
      </c>
      <c r="BA10">
        <v>11</v>
      </c>
      <c r="BB10">
        <v>1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1252.8000000000002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1</v>
      </c>
      <c r="BQ10">
        <v>1252.8000000000002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1</v>
      </c>
      <c r="CX10">
        <f>Y10*Source!I24</f>
        <v>1215.2160000000001</v>
      </c>
      <c r="CY10">
        <f t="shared" si="0"/>
        <v>0.4</v>
      </c>
      <c r="CZ10">
        <f t="shared" si="1"/>
        <v>0.4</v>
      </c>
      <c r="DA10">
        <f t="shared" si="2"/>
        <v>1</v>
      </c>
      <c r="DB10">
        <v>0</v>
      </c>
    </row>
    <row r="11" spans="1:106" ht="12.75">
      <c r="A11">
        <f>ROW(Source!A24)</f>
        <v>24</v>
      </c>
      <c r="B11">
        <v>26994759</v>
      </c>
      <c r="C11">
        <v>26995650</v>
      </c>
      <c r="D11">
        <v>24328349</v>
      </c>
      <c r="E11">
        <v>1</v>
      </c>
      <c r="F11">
        <v>1</v>
      </c>
      <c r="G11">
        <v>1</v>
      </c>
      <c r="H11">
        <v>3</v>
      </c>
      <c r="I11" t="s">
        <v>353</v>
      </c>
      <c r="J11" t="s">
        <v>354</v>
      </c>
      <c r="K11" t="s">
        <v>355</v>
      </c>
      <c r="L11">
        <v>1354</v>
      </c>
      <c r="N11">
        <v>1010</v>
      </c>
      <c r="O11" t="s">
        <v>352</v>
      </c>
      <c r="P11" t="s">
        <v>352</v>
      </c>
      <c r="Q11">
        <v>1</v>
      </c>
      <c r="W11">
        <v>0</v>
      </c>
      <c r="X11">
        <v>1179422649</v>
      </c>
      <c r="Y11">
        <v>389</v>
      </c>
      <c r="AA11">
        <v>2.12</v>
      </c>
      <c r="AB11">
        <v>0</v>
      </c>
      <c r="AC11">
        <v>0</v>
      </c>
      <c r="AD11">
        <v>0</v>
      </c>
      <c r="AE11">
        <v>2.12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0</v>
      </c>
      <c r="AP11">
        <v>0</v>
      </c>
      <c r="AQ11">
        <v>1</v>
      </c>
      <c r="AR11">
        <v>0</v>
      </c>
      <c r="AT11">
        <v>389</v>
      </c>
      <c r="AV11">
        <v>0</v>
      </c>
      <c r="AW11">
        <v>2</v>
      </c>
      <c r="AX11">
        <v>26995674</v>
      </c>
      <c r="AY11">
        <v>2</v>
      </c>
      <c r="AZ11">
        <v>22528</v>
      </c>
      <c r="BA11">
        <v>13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824.6800000000001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1</v>
      </c>
      <c r="BQ11">
        <v>824.6800000000001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1</v>
      </c>
      <c r="CX11">
        <f>Y11*Source!I24</f>
        <v>150.93200000000002</v>
      </c>
      <c r="CY11">
        <f t="shared" si="0"/>
        <v>2.12</v>
      </c>
      <c r="CZ11">
        <f t="shared" si="1"/>
        <v>2.12</v>
      </c>
      <c r="DA11">
        <f t="shared" si="2"/>
        <v>1</v>
      </c>
      <c r="DB11">
        <v>0</v>
      </c>
    </row>
    <row r="12" spans="1:106" ht="12.75">
      <c r="A12">
        <f>ROW(Source!A25)</f>
        <v>25</v>
      </c>
      <c r="B12">
        <v>26994759</v>
      </c>
      <c r="C12">
        <v>26995682</v>
      </c>
      <c r="D12">
        <v>121618</v>
      </c>
      <c r="E12">
        <v>1</v>
      </c>
      <c r="F12">
        <v>1</v>
      </c>
      <c r="G12">
        <v>1</v>
      </c>
      <c r="H12">
        <v>1</v>
      </c>
      <c r="I12" t="s">
        <v>356</v>
      </c>
      <c r="K12" t="s">
        <v>357</v>
      </c>
      <c r="L12">
        <v>1369</v>
      </c>
      <c r="N12">
        <v>1013</v>
      </c>
      <c r="O12" t="s">
        <v>323</v>
      </c>
      <c r="P12" t="s">
        <v>323</v>
      </c>
      <c r="Q12">
        <v>1</v>
      </c>
      <c r="W12">
        <v>0</v>
      </c>
      <c r="X12">
        <v>-394090629</v>
      </c>
      <c r="Y12">
        <v>77.16499999999999</v>
      </c>
      <c r="AA12">
        <v>0</v>
      </c>
      <c r="AB12">
        <v>0</v>
      </c>
      <c r="AC12">
        <v>0</v>
      </c>
      <c r="AD12">
        <v>127.31</v>
      </c>
      <c r="AE12">
        <v>0</v>
      </c>
      <c r="AF12">
        <v>0</v>
      </c>
      <c r="AG12">
        <v>0</v>
      </c>
      <c r="AH12">
        <v>127.31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1</v>
      </c>
      <c r="AR12">
        <v>0</v>
      </c>
      <c r="AT12">
        <v>67.1</v>
      </c>
      <c r="AU12" t="s">
        <v>18</v>
      </c>
      <c r="AV12">
        <v>1</v>
      </c>
      <c r="AW12">
        <v>2</v>
      </c>
      <c r="AX12">
        <v>26995688</v>
      </c>
      <c r="AY12">
        <v>2</v>
      </c>
      <c r="AZ12">
        <v>131072</v>
      </c>
      <c r="BA12">
        <v>21</v>
      </c>
      <c r="BB12">
        <v>1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8542.501</v>
      </c>
      <c r="BN12">
        <v>67.1</v>
      </c>
      <c r="BO12">
        <v>0</v>
      </c>
      <c r="BP12">
        <v>1</v>
      </c>
      <c r="BQ12">
        <v>0</v>
      </c>
      <c r="BR12">
        <v>0</v>
      </c>
      <c r="BS12">
        <v>0</v>
      </c>
      <c r="BT12">
        <v>9823.87615</v>
      </c>
      <c r="BU12">
        <v>77.16499999999999</v>
      </c>
      <c r="BV12">
        <v>0</v>
      </c>
      <c r="BW12">
        <v>1</v>
      </c>
      <c r="CX12">
        <f>Y12*Source!I25</f>
        <v>29.940019999999997</v>
      </c>
      <c r="CY12">
        <f>AD12</f>
        <v>127.31</v>
      </c>
      <c r="CZ12">
        <f>AH12</f>
        <v>127.31</v>
      </c>
      <c r="DA12">
        <f>AL12</f>
        <v>1</v>
      </c>
      <c r="DB12">
        <v>0</v>
      </c>
    </row>
    <row r="13" spans="1:106" ht="12.75">
      <c r="A13">
        <f>ROW(Source!A25)</f>
        <v>25</v>
      </c>
      <c r="B13">
        <v>26994759</v>
      </c>
      <c r="C13">
        <v>26995682</v>
      </c>
      <c r="D13">
        <v>121548</v>
      </c>
      <c r="E13">
        <v>1</v>
      </c>
      <c r="F13">
        <v>1</v>
      </c>
      <c r="G13">
        <v>1</v>
      </c>
      <c r="H13">
        <v>1</v>
      </c>
      <c r="I13" t="s">
        <v>26</v>
      </c>
      <c r="K13" t="s">
        <v>358</v>
      </c>
      <c r="L13">
        <v>608254</v>
      </c>
      <c r="N13">
        <v>1013</v>
      </c>
      <c r="O13" t="s">
        <v>359</v>
      </c>
      <c r="P13" t="s">
        <v>359</v>
      </c>
      <c r="Q13">
        <v>1</v>
      </c>
      <c r="W13">
        <v>0</v>
      </c>
      <c r="X13">
        <v>-185737400</v>
      </c>
      <c r="Y13">
        <v>0.675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1</v>
      </c>
      <c r="AQ13">
        <v>1</v>
      </c>
      <c r="AR13">
        <v>0</v>
      </c>
      <c r="AT13">
        <v>0.54</v>
      </c>
      <c r="AU13" t="s">
        <v>17</v>
      </c>
      <c r="AV13">
        <v>2</v>
      </c>
      <c r="AW13">
        <v>2</v>
      </c>
      <c r="AX13">
        <v>26995689</v>
      </c>
      <c r="AY13">
        <v>1</v>
      </c>
      <c r="AZ13">
        <v>0</v>
      </c>
      <c r="BA13">
        <v>22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0.54</v>
      </c>
      <c r="BP13">
        <v>1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0.675</v>
      </c>
      <c r="BW13">
        <v>1</v>
      </c>
      <c r="CX13">
        <f>Y13*Source!I25</f>
        <v>0.2619</v>
      </c>
      <c r="CY13">
        <f>AD13</f>
        <v>0</v>
      </c>
      <c r="CZ13">
        <f>AH13</f>
        <v>0</v>
      </c>
      <c r="DA13">
        <f>AL13</f>
        <v>1</v>
      </c>
      <c r="DB13">
        <v>0</v>
      </c>
    </row>
    <row r="14" spans="1:106" ht="12.75">
      <c r="A14">
        <f>ROW(Source!A25)</f>
        <v>25</v>
      </c>
      <c r="B14">
        <v>26994759</v>
      </c>
      <c r="C14">
        <v>26995682</v>
      </c>
      <c r="D14">
        <v>1471210</v>
      </c>
      <c r="E14">
        <v>1</v>
      </c>
      <c r="F14">
        <v>1</v>
      </c>
      <c r="G14">
        <v>1</v>
      </c>
      <c r="H14">
        <v>2</v>
      </c>
      <c r="I14" t="s">
        <v>360</v>
      </c>
      <c r="J14" t="s">
        <v>361</v>
      </c>
      <c r="K14" t="s">
        <v>362</v>
      </c>
      <c r="L14">
        <v>1480</v>
      </c>
      <c r="N14">
        <v>1013</v>
      </c>
      <c r="O14" t="s">
        <v>363</v>
      </c>
      <c r="P14" t="s">
        <v>364</v>
      </c>
      <c r="Q14">
        <v>1</v>
      </c>
      <c r="W14">
        <v>0</v>
      </c>
      <c r="X14">
        <v>1354950368</v>
      </c>
      <c r="Y14">
        <v>0.8375</v>
      </c>
      <c r="AA14">
        <v>0</v>
      </c>
      <c r="AB14">
        <v>4.12</v>
      </c>
      <c r="AC14">
        <v>0</v>
      </c>
      <c r="AD14">
        <v>0</v>
      </c>
      <c r="AE14">
        <v>0</v>
      </c>
      <c r="AF14">
        <v>4.12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1</v>
      </c>
      <c r="AQ14">
        <v>1</v>
      </c>
      <c r="AR14">
        <v>0</v>
      </c>
      <c r="AT14">
        <v>0.67</v>
      </c>
      <c r="AU14" t="s">
        <v>17</v>
      </c>
      <c r="AV14">
        <v>0</v>
      </c>
      <c r="AW14">
        <v>2</v>
      </c>
      <c r="AX14">
        <v>26995690</v>
      </c>
      <c r="AY14">
        <v>2</v>
      </c>
      <c r="AZ14">
        <v>32768</v>
      </c>
      <c r="BA14">
        <v>23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2.7604</v>
      </c>
      <c r="BL14">
        <v>0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3.4505000000000003</v>
      </c>
      <c r="BS14">
        <v>0</v>
      </c>
      <c r="BT14">
        <v>0</v>
      </c>
      <c r="BU14">
        <v>0</v>
      </c>
      <c r="BV14">
        <v>0</v>
      </c>
      <c r="BW14">
        <v>1</v>
      </c>
      <c r="CX14">
        <f>Y14*Source!I25</f>
        <v>0.32495</v>
      </c>
      <c r="CY14">
        <f>AB14</f>
        <v>4.12</v>
      </c>
      <c r="CZ14">
        <f>AF14</f>
        <v>4.12</v>
      </c>
      <c r="DA14">
        <f>AJ14</f>
        <v>1</v>
      </c>
      <c r="DB14">
        <v>0</v>
      </c>
    </row>
    <row r="15" spans="1:106" ht="12.75">
      <c r="A15">
        <f>ROW(Source!A25)</f>
        <v>25</v>
      </c>
      <c r="B15">
        <v>26994759</v>
      </c>
      <c r="C15">
        <v>26995682</v>
      </c>
      <c r="D15">
        <v>0</v>
      </c>
      <c r="E15">
        <v>0</v>
      </c>
      <c r="F15">
        <v>1</v>
      </c>
      <c r="G15">
        <v>1</v>
      </c>
      <c r="H15">
        <v>3</v>
      </c>
      <c r="K15" t="s">
        <v>347</v>
      </c>
      <c r="L15">
        <v>1327</v>
      </c>
      <c r="N15">
        <v>1005</v>
      </c>
      <c r="O15" t="s">
        <v>348</v>
      </c>
      <c r="P15" t="s">
        <v>348</v>
      </c>
      <c r="Q15">
        <v>1</v>
      </c>
      <c r="W15">
        <v>0</v>
      </c>
      <c r="X15">
        <v>-127477889</v>
      </c>
      <c r="Y15">
        <v>105</v>
      </c>
      <c r="AA15">
        <v>150</v>
      </c>
      <c r="AB15">
        <v>0</v>
      </c>
      <c r="AC15">
        <v>0</v>
      </c>
      <c r="AD15">
        <v>0</v>
      </c>
      <c r="AE15">
        <v>150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0</v>
      </c>
      <c r="AP15">
        <v>2</v>
      </c>
      <c r="AQ15">
        <v>1</v>
      </c>
      <c r="AR15">
        <v>0</v>
      </c>
      <c r="AT15">
        <v>105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1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15750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1</v>
      </c>
      <c r="BQ15">
        <v>15750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1</v>
      </c>
      <c r="CX15">
        <f>Y15*Source!I25</f>
        <v>40.74</v>
      </c>
      <c r="CY15">
        <f>AA15</f>
        <v>150</v>
      </c>
      <c r="CZ15">
        <f>AE15</f>
        <v>150</v>
      </c>
      <c r="DA15">
        <f>AI15</f>
        <v>1</v>
      </c>
      <c r="DB15">
        <v>0</v>
      </c>
    </row>
    <row r="16" spans="1:106" ht="12.75">
      <c r="A16">
        <f>ROW(Source!A25)</f>
        <v>25</v>
      </c>
      <c r="B16">
        <v>26994759</v>
      </c>
      <c r="C16">
        <v>26995682</v>
      </c>
      <c r="D16">
        <v>0</v>
      </c>
      <c r="E16">
        <v>0</v>
      </c>
      <c r="F16">
        <v>1</v>
      </c>
      <c r="G16">
        <v>1</v>
      </c>
      <c r="H16">
        <v>3</v>
      </c>
      <c r="K16" t="s">
        <v>365</v>
      </c>
      <c r="L16">
        <v>1354</v>
      </c>
      <c r="N16">
        <v>1010</v>
      </c>
      <c r="O16" t="s">
        <v>352</v>
      </c>
      <c r="P16" t="s">
        <v>352</v>
      </c>
      <c r="Q16">
        <v>1</v>
      </c>
      <c r="W16">
        <v>0</v>
      </c>
      <c r="X16">
        <v>330517851</v>
      </c>
      <c r="Y16">
        <v>3132</v>
      </c>
      <c r="AA16">
        <v>0.4</v>
      </c>
      <c r="AB16">
        <v>0</v>
      </c>
      <c r="AC16">
        <v>0</v>
      </c>
      <c r="AD16">
        <v>0</v>
      </c>
      <c r="AE16">
        <v>0.4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2</v>
      </c>
      <c r="AQ16">
        <v>1</v>
      </c>
      <c r="AR16">
        <v>0</v>
      </c>
      <c r="AT16">
        <v>3132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1252.8000000000002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1</v>
      </c>
      <c r="BQ16">
        <v>1252.8000000000002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1</v>
      </c>
      <c r="CX16">
        <f>Y16*Source!I25</f>
        <v>1215.2160000000001</v>
      </c>
      <c r="CY16">
        <f>AA16</f>
        <v>0.4</v>
      </c>
      <c r="CZ16">
        <f>AE16</f>
        <v>0.4</v>
      </c>
      <c r="DA16">
        <f>AI16</f>
        <v>1</v>
      </c>
      <c r="DB16">
        <v>0</v>
      </c>
    </row>
    <row r="17" spans="1:106" ht="12.75">
      <c r="A17">
        <f>ROW(Source!A26)</f>
        <v>26</v>
      </c>
      <c r="B17">
        <v>26994759</v>
      </c>
      <c r="C17">
        <v>26995694</v>
      </c>
      <c r="D17">
        <v>9416210</v>
      </c>
      <c r="E17">
        <v>1</v>
      </c>
      <c r="F17">
        <v>1</v>
      </c>
      <c r="G17">
        <v>1</v>
      </c>
      <c r="H17">
        <v>1</v>
      </c>
      <c r="I17" t="s">
        <v>366</v>
      </c>
      <c r="K17" t="s">
        <v>367</v>
      </c>
      <c r="L17">
        <v>1369</v>
      </c>
      <c r="N17">
        <v>1013</v>
      </c>
      <c r="O17" t="s">
        <v>323</v>
      </c>
      <c r="P17" t="s">
        <v>323</v>
      </c>
      <c r="Q17">
        <v>1</v>
      </c>
      <c r="W17">
        <v>0</v>
      </c>
      <c r="X17">
        <v>-647487898</v>
      </c>
      <c r="Y17">
        <v>12.167</v>
      </c>
      <c r="AA17">
        <v>0</v>
      </c>
      <c r="AB17">
        <v>0</v>
      </c>
      <c r="AC17">
        <v>0</v>
      </c>
      <c r="AD17">
        <v>136.95</v>
      </c>
      <c r="AE17">
        <v>0</v>
      </c>
      <c r="AF17">
        <v>0</v>
      </c>
      <c r="AG17">
        <v>0</v>
      </c>
      <c r="AH17">
        <v>136.95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1</v>
      </c>
      <c r="AQ17">
        <v>1</v>
      </c>
      <c r="AR17">
        <v>0</v>
      </c>
      <c r="AT17">
        <v>10.58</v>
      </c>
      <c r="AU17" t="s">
        <v>18</v>
      </c>
      <c r="AV17">
        <v>1</v>
      </c>
      <c r="AW17">
        <v>2</v>
      </c>
      <c r="AX17">
        <v>26995699</v>
      </c>
      <c r="AY17">
        <v>2</v>
      </c>
      <c r="AZ17">
        <v>131072</v>
      </c>
      <c r="BA17">
        <v>27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1448.9309999999998</v>
      </c>
      <c r="BN17">
        <v>10.58</v>
      </c>
      <c r="BO17">
        <v>0</v>
      </c>
      <c r="BP17">
        <v>1</v>
      </c>
      <c r="BQ17">
        <v>0</v>
      </c>
      <c r="BR17">
        <v>0</v>
      </c>
      <c r="BS17">
        <v>0</v>
      </c>
      <c r="BT17">
        <v>1666.27065</v>
      </c>
      <c r="BU17">
        <v>12.167</v>
      </c>
      <c r="BV17">
        <v>0</v>
      </c>
      <c r="BW17">
        <v>1</v>
      </c>
      <c r="CX17">
        <f>Y17*Source!I26</f>
        <v>47.20796</v>
      </c>
      <c r="CY17">
        <f>AD17</f>
        <v>136.95</v>
      </c>
      <c r="CZ17">
        <f>AH17</f>
        <v>136.95</v>
      </c>
      <c r="DA17">
        <f>AL17</f>
        <v>1</v>
      </c>
      <c r="DB17">
        <v>0</v>
      </c>
    </row>
    <row r="18" spans="1:106" ht="12.75">
      <c r="A18">
        <f>ROW(Source!A26)</f>
        <v>26</v>
      </c>
      <c r="B18">
        <v>26994759</v>
      </c>
      <c r="C18">
        <v>26995694</v>
      </c>
      <c r="D18">
        <v>24322593</v>
      </c>
      <c r="E18">
        <v>1</v>
      </c>
      <c r="F18">
        <v>1</v>
      </c>
      <c r="G18">
        <v>1</v>
      </c>
      <c r="H18">
        <v>2</v>
      </c>
      <c r="I18" t="s">
        <v>368</v>
      </c>
      <c r="J18" t="s">
        <v>369</v>
      </c>
      <c r="K18" t="s">
        <v>370</v>
      </c>
      <c r="L18">
        <v>1368</v>
      </c>
      <c r="N18">
        <v>1011</v>
      </c>
      <c r="O18" t="s">
        <v>327</v>
      </c>
      <c r="P18" t="s">
        <v>327</v>
      </c>
      <c r="Q18">
        <v>1</v>
      </c>
      <c r="W18">
        <v>0</v>
      </c>
      <c r="X18">
        <v>1118787931</v>
      </c>
      <c r="Y18">
        <v>0.9375</v>
      </c>
      <c r="AA18">
        <v>0</v>
      </c>
      <c r="AB18">
        <v>24.6</v>
      </c>
      <c r="AC18">
        <v>0</v>
      </c>
      <c r="AD18">
        <v>0</v>
      </c>
      <c r="AE18">
        <v>0</v>
      </c>
      <c r="AF18">
        <v>24.6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1</v>
      </c>
      <c r="AQ18">
        <v>1</v>
      </c>
      <c r="AR18">
        <v>0</v>
      </c>
      <c r="AT18">
        <v>0.75</v>
      </c>
      <c r="AU18" t="s">
        <v>17</v>
      </c>
      <c r="AV18">
        <v>0</v>
      </c>
      <c r="AW18">
        <v>2</v>
      </c>
      <c r="AX18">
        <v>26995700</v>
      </c>
      <c r="AY18">
        <v>2</v>
      </c>
      <c r="AZ18">
        <v>32768</v>
      </c>
      <c r="BA18">
        <v>28</v>
      </c>
      <c r="BB18">
        <v>1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18.450000000000003</v>
      </c>
      <c r="BL18">
        <v>0</v>
      </c>
      <c r="BM18">
        <v>0</v>
      </c>
      <c r="BN18">
        <v>0</v>
      </c>
      <c r="BO18">
        <v>0</v>
      </c>
      <c r="BP18">
        <v>1</v>
      </c>
      <c r="BQ18">
        <v>0</v>
      </c>
      <c r="BR18">
        <v>23.0625</v>
      </c>
      <c r="BS18">
        <v>0</v>
      </c>
      <c r="BT18">
        <v>0</v>
      </c>
      <c r="BU18">
        <v>0</v>
      </c>
      <c r="BV18">
        <v>0</v>
      </c>
      <c r="BW18">
        <v>1</v>
      </c>
      <c r="CX18">
        <f>Y18*Source!I26</f>
        <v>3.6374999999999997</v>
      </c>
      <c r="CY18">
        <f>AB18</f>
        <v>24.6</v>
      </c>
      <c r="CZ18">
        <f>AF18</f>
        <v>24.6</v>
      </c>
      <c r="DA18">
        <f>AJ18</f>
        <v>1</v>
      </c>
      <c r="DB18">
        <v>0</v>
      </c>
    </row>
    <row r="19" spans="1:106" ht="12.75">
      <c r="A19">
        <f>ROW(Source!A26)</f>
        <v>26</v>
      </c>
      <c r="B19">
        <v>26994759</v>
      </c>
      <c r="C19">
        <v>26995694</v>
      </c>
      <c r="D19">
        <v>24262102</v>
      </c>
      <c r="E19">
        <v>1</v>
      </c>
      <c r="F19">
        <v>1</v>
      </c>
      <c r="G19">
        <v>1</v>
      </c>
      <c r="H19">
        <v>2</v>
      </c>
      <c r="I19" t="s">
        <v>371</v>
      </c>
      <c r="J19" t="s">
        <v>372</v>
      </c>
      <c r="K19" t="s">
        <v>373</v>
      </c>
      <c r="L19">
        <v>1368</v>
      </c>
      <c r="N19">
        <v>1011</v>
      </c>
      <c r="O19" t="s">
        <v>327</v>
      </c>
      <c r="P19" t="s">
        <v>327</v>
      </c>
      <c r="Q19">
        <v>1</v>
      </c>
      <c r="W19">
        <v>0</v>
      </c>
      <c r="X19">
        <v>596191924</v>
      </c>
      <c r="Y19">
        <v>0.75</v>
      </c>
      <c r="AA19">
        <v>0</v>
      </c>
      <c r="AB19">
        <v>691.3</v>
      </c>
      <c r="AC19">
        <v>0</v>
      </c>
      <c r="AD19">
        <v>0</v>
      </c>
      <c r="AE19">
        <v>0</v>
      </c>
      <c r="AF19">
        <v>691.3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1</v>
      </c>
      <c r="AQ19">
        <v>1</v>
      </c>
      <c r="AR19">
        <v>0</v>
      </c>
      <c r="AT19">
        <v>0.6</v>
      </c>
      <c r="AU19" t="s">
        <v>17</v>
      </c>
      <c r="AV19">
        <v>0</v>
      </c>
      <c r="AW19">
        <v>2</v>
      </c>
      <c r="AX19">
        <v>26995701</v>
      </c>
      <c r="AY19">
        <v>2</v>
      </c>
      <c r="AZ19">
        <v>98304</v>
      </c>
      <c r="BA19">
        <v>29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414.78</v>
      </c>
      <c r="BL19">
        <v>0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518.4749999999999</v>
      </c>
      <c r="BS19">
        <v>0</v>
      </c>
      <c r="BT19">
        <v>0</v>
      </c>
      <c r="BU19">
        <v>0</v>
      </c>
      <c r="BV19">
        <v>0</v>
      </c>
      <c r="BW19">
        <v>1</v>
      </c>
      <c r="CX19">
        <f>Y19*Source!I26</f>
        <v>2.91</v>
      </c>
      <c r="CY19">
        <f>AB19</f>
        <v>691.3</v>
      </c>
      <c r="CZ19">
        <f>AF19</f>
        <v>691.3</v>
      </c>
      <c r="DA19">
        <f>AJ19</f>
        <v>1</v>
      </c>
      <c r="DB19">
        <v>0</v>
      </c>
    </row>
    <row r="20" spans="1:106" ht="12.75">
      <c r="A20">
        <f>ROW(Source!A26)</f>
        <v>26</v>
      </c>
      <c r="B20">
        <v>26994759</v>
      </c>
      <c r="C20">
        <v>26995694</v>
      </c>
      <c r="D20">
        <v>24393110</v>
      </c>
      <c r="E20">
        <v>1</v>
      </c>
      <c r="F20">
        <v>1</v>
      </c>
      <c r="G20">
        <v>1</v>
      </c>
      <c r="H20">
        <v>3</v>
      </c>
      <c r="I20" t="s">
        <v>374</v>
      </c>
      <c r="J20" t="s">
        <v>375</v>
      </c>
      <c r="K20" t="s">
        <v>376</v>
      </c>
      <c r="L20">
        <v>1339</v>
      </c>
      <c r="N20">
        <v>1007</v>
      </c>
      <c r="O20" t="s">
        <v>377</v>
      </c>
      <c r="P20" t="s">
        <v>377</v>
      </c>
      <c r="Q20">
        <v>1</v>
      </c>
      <c r="W20">
        <v>0</v>
      </c>
      <c r="X20">
        <v>-195020439</v>
      </c>
      <c r="Y20">
        <v>1.02</v>
      </c>
      <c r="AA20">
        <v>3946.75</v>
      </c>
      <c r="AB20">
        <v>0</v>
      </c>
      <c r="AC20">
        <v>0</v>
      </c>
      <c r="AD20">
        <v>0</v>
      </c>
      <c r="AE20">
        <v>3946.75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1</v>
      </c>
      <c r="AR20">
        <v>0</v>
      </c>
      <c r="AT20">
        <v>1.02</v>
      </c>
      <c r="AV20">
        <v>0</v>
      </c>
      <c r="AW20">
        <v>2</v>
      </c>
      <c r="AX20">
        <v>26995702</v>
      </c>
      <c r="AY20">
        <v>2</v>
      </c>
      <c r="AZ20">
        <v>16384</v>
      </c>
      <c r="BA20">
        <v>30</v>
      </c>
      <c r="BB20">
        <v>1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4025.685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1</v>
      </c>
      <c r="BQ20">
        <v>4025.685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1</v>
      </c>
      <c r="CX20">
        <f>Y20*Source!I26</f>
        <v>3.9576</v>
      </c>
      <c r="CY20">
        <f>AA20</f>
        <v>3946.75</v>
      </c>
      <c r="CZ20">
        <f>AE20</f>
        <v>3946.75</v>
      </c>
      <c r="DA20">
        <f>AI20</f>
        <v>1</v>
      </c>
      <c r="DB20">
        <v>0</v>
      </c>
    </row>
    <row r="21" spans="1:106" ht="12.75">
      <c r="A21">
        <f>ROW(Source!A27)</f>
        <v>27</v>
      </c>
      <c r="B21">
        <v>26994759</v>
      </c>
      <c r="C21">
        <v>26995703</v>
      </c>
      <c r="D21">
        <v>9415666</v>
      </c>
      <c r="E21">
        <v>1</v>
      </c>
      <c r="F21">
        <v>1</v>
      </c>
      <c r="G21">
        <v>1</v>
      </c>
      <c r="H21">
        <v>1</v>
      </c>
      <c r="I21" t="s">
        <v>378</v>
      </c>
      <c r="K21" t="s">
        <v>379</v>
      </c>
      <c r="L21">
        <v>1369</v>
      </c>
      <c r="N21">
        <v>1013</v>
      </c>
      <c r="O21" t="s">
        <v>323</v>
      </c>
      <c r="P21" t="s">
        <v>323</v>
      </c>
      <c r="Q21">
        <v>1</v>
      </c>
      <c r="W21">
        <v>0</v>
      </c>
      <c r="X21">
        <v>-1371206905</v>
      </c>
      <c r="Y21">
        <v>33.028</v>
      </c>
      <c r="AA21">
        <v>0</v>
      </c>
      <c r="AB21">
        <v>0</v>
      </c>
      <c r="AC21">
        <v>0</v>
      </c>
      <c r="AD21">
        <v>128.9</v>
      </c>
      <c r="AE21">
        <v>0</v>
      </c>
      <c r="AF21">
        <v>0</v>
      </c>
      <c r="AG21">
        <v>0</v>
      </c>
      <c r="AH21">
        <v>128.9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1</v>
      </c>
      <c r="AQ21">
        <v>1</v>
      </c>
      <c r="AR21">
        <v>0</v>
      </c>
      <c r="AT21">
        <v>14.36</v>
      </c>
      <c r="AU21" t="s">
        <v>48</v>
      </c>
      <c r="AV21">
        <v>1</v>
      </c>
      <c r="AW21">
        <v>2</v>
      </c>
      <c r="AX21">
        <v>26995707</v>
      </c>
      <c r="AY21">
        <v>2</v>
      </c>
      <c r="AZ21">
        <v>131072</v>
      </c>
      <c r="BA21">
        <v>31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1851.004</v>
      </c>
      <c r="BN21">
        <v>14.36</v>
      </c>
      <c r="BO21">
        <v>0</v>
      </c>
      <c r="BP21">
        <v>1</v>
      </c>
      <c r="BQ21">
        <v>0</v>
      </c>
      <c r="BR21">
        <v>0</v>
      </c>
      <c r="BS21">
        <v>0</v>
      </c>
      <c r="BT21">
        <v>4257.3092</v>
      </c>
      <c r="BU21">
        <v>33.028</v>
      </c>
      <c r="BV21">
        <v>0</v>
      </c>
      <c r="BW21">
        <v>1</v>
      </c>
      <c r="CX21">
        <f>Y21*Source!I27</f>
        <v>12.814864</v>
      </c>
      <c r="CY21">
        <f>AD21</f>
        <v>128.9</v>
      </c>
      <c r="CZ21">
        <f>AH21</f>
        <v>128.9</v>
      </c>
      <c r="DA21">
        <f>AL21</f>
        <v>1</v>
      </c>
      <c r="DB21">
        <v>0</v>
      </c>
    </row>
    <row r="22" spans="1:106" ht="12.75">
      <c r="A22">
        <f>ROW(Source!A27)</f>
        <v>27</v>
      </c>
      <c r="B22">
        <v>26994759</v>
      </c>
      <c r="C22">
        <v>26995703</v>
      </c>
      <c r="D22">
        <v>24298549</v>
      </c>
      <c r="E22">
        <v>1</v>
      </c>
      <c r="F22">
        <v>1</v>
      </c>
      <c r="G22">
        <v>1</v>
      </c>
      <c r="H22">
        <v>3</v>
      </c>
      <c r="I22" t="s">
        <v>380</v>
      </c>
      <c r="J22" t="s">
        <v>381</v>
      </c>
      <c r="K22" t="s">
        <v>382</v>
      </c>
      <c r="L22">
        <v>696885</v>
      </c>
      <c r="N22">
        <v>1010</v>
      </c>
      <c r="O22" t="s">
        <v>352</v>
      </c>
      <c r="P22" t="s">
        <v>383</v>
      </c>
      <c r="Q22">
        <v>1</v>
      </c>
      <c r="W22">
        <v>0</v>
      </c>
      <c r="X22">
        <v>931686825</v>
      </c>
      <c r="Y22">
        <v>14.846</v>
      </c>
      <c r="AA22">
        <v>112</v>
      </c>
      <c r="AB22">
        <v>0</v>
      </c>
      <c r="AC22">
        <v>0</v>
      </c>
      <c r="AD22">
        <v>0</v>
      </c>
      <c r="AE22">
        <v>112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1</v>
      </c>
      <c r="AQ22">
        <v>1</v>
      </c>
      <c r="AR22">
        <v>0</v>
      </c>
      <c r="AT22">
        <v>7.423</v>
      </c>
      <c r="AU22" t="s">
        <v>46</v>
      </c>
      <c r="AV22">
        <v>0</v>
      </c>
      <c r="AW22">
        <v>2</v>
      </c>
      <c r="AX22">
        <v>26995709</v>
      </c>
      <c r="AY22">
        <v>1</v>
      </c>
      <c r="AZ22">
        <v>0</v>
      </c>
      <c r="BA22">
        <v>33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831.376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1662.752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1</v>
      </c>
      <c r="CX22">
        <f>Y22*Source!I27</f>
        <v>5.760248</v>
      </c>
      <c r="CY22">
        <f>AA22</f>
        <v>112</v>
      </c>
      <c r="CZ22">
        <f>AE22</f>
        <v>112</v>
      </c>
      <c r="DA22">
        <f>AI22</f>
        <v>1</v>
      </c>
      <c r="DB22">
        <v>0</v>
      </c>
    </row>
    <row r="23" spans="1:106" ht="12.75">
      <c r="A23">
        <f>ROW(Source!A27)</f>
        <v>27</v>
      </c>
      <c r="B23">
        <v>26994759</v>
      </c>
      <c r="C23">
        <v>26995703</v>
      </c>
      <c r="D23">
        <v>24304985</v>
      </c>
      <c r="E23">
        <v>1</v>
      </c>
      <c r="F23">
        <v>1</v>
      </c>
      <c r="G23">
        <v>1</v>
      </c>
      <c r="H23">
        <v>3</v>
      </c>
      <c r="I23" t="s">
        <v>384</v>
      </c>
      <c r="J23" t="s">
        <v>385</v>
      </c>
      <c r="K23" t="s">
        <v>386</v>
      </c>
      <c r="L23">
        <v>1327</v>
      </c>
      <c r="N23">
        <v>1005</v>
      </c>
      <c r="O23" t="s">
        <v>348</v>
      </c>
      <c r="P23" t="s">
        <v>348</v>
      </c>
      <c r="Q23">
        <v>1</v>
      </c>
      <c r="W23">
        <v>0</v>
      </c>
      <c r="X23">
        <v>126537040</v>
      </c>
      <c r="Y23">
        <v>230</v>
      </c>
      <c r="AA23">
        <v>27.12</v>
      </c>
      <c r="AB23">
        <v>0</v>
      </c>
      <c r="AC23">
        <v>0</v>
      </c>
      <c r="AD23">
        <v>0</v>
      </c>
      <c r="AE23">
        <v>27.12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1</v>
      </c>
      <c r="AR23">
        <v>0</v>
      </c>
      <c r="AT23">
        <v>115</v>
      </c>
      <c r="AU23" t="s">
        <v>46</v>
      </c>
      <c r="AV23">
        <v>0</v>
      </c>
      <c r="AW23">
        <v>2</v>
      </c>
      <c r="AX23">
        <v>26995710</v>
      </c>
      <c r="AY23">
        <v>2</v>
      </c>
      <c r="AZ23">
        <v>16384</v>
      </c>
      <c r="BA23">
        <v>34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3118.8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6237.6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CX23">
        <f>Y23*Source!I27</f>
        <v>89.24000000000001</v>
      </c>
      <c r="CY23">
        <f>AA23</f>
        <v>27.12</v>
      </c>
      <c r="CZ23">
        <f>AE23</f>
        <v>27.12</v>
      </c>
      <c r="DA23">
        <f>AI23</f>
        <v>1</v>
      </c>
      <c r="DB23">
        <v>0</v>
      </c>
    </row>
    <row r="24" spans="1:106" ht="12.75">
      <c r="A24">
        <f>ROW(Source!A28)</f>
        <v>28</v>
      </c>
      <c r="B24">
        <v>26994759</v>
      </c>
      <c r="C24">
        <v>26995711</v>
      </c>
      <c r="D24">
        <v>9415352</v>
      </c>
      <c r="E24">
        <v>1</v>
      </c>
      <c r="F24">
        <v>1</v>
      </c>
      <c r="G24">
        <v>1</v>
      </c>
      <c r="H24">
        <v>1</v>
      </c>
      <c r="I24" t="s">
        <v>387</v>
      </c>
      <c r="K24" t="s">
        <v>388</v>
      </c>
      <c r="L24">
        <v>1369</v>
      </c>
      <c r="N24">
        <v>1013</v>
      </c>
      <c r="O24" t="s">
        <v>323</v>
      </c>
      <c r="P24" t="s">
        <v>323</v>
      </c>
      <c r="Q24">
        <v>1</v>
      </c>
      <c r="W24">
        <v>0</v>
      </c>
      <c r="X24">
        <v>-1673341983</v>
      </c>
      <c r="Y24">
        <v>9.315</v>
      </c>
      <c r="AA24">
        <v>0</v>
      </c>
      <c r="AB24">
        <v>0</v>
      </c>
      <c r="AC24">
        <v>0</v>
      </c>
      <c r="AD24">
        <v>141.83</v>
      </c>
      <c r="AE24">
        <v>0</v>
      </c>
      <c r="AF24">
        <v>0</v>
      </c>
      <c r="AG24">
        <v>0</v>
      </c>
      <c r="AH24">
        <v>141.83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1</v>
      </c>
      <c r="AQ24">
        <v>1</v>
      </c>
      <c r="AR24">
        <v>0</v>
      </c>
      <c r="AT24">
        <v>8.1</v>
      </c>
      <c r="AU24" t="s">
        <v>18</v>
      </c>
      <c r="AV24">
        <v>1</v>
      </c>
      <c r="AW24">
        <v>2</v>
      </c>
      <c r="AX24">
        <v>26995717</v>
      </c>
      <c r="AY24">
        <v>2</v>
      </c>
      <c r="AZ24">
        <v>131072</v>
      </c>
      <c r="BA24">
        <v>35</v>
      </c>
      <c r="BB24">
        <v>1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1148.823</v>
      </c>
      <c r="BN24">
        <v>8.1</v>
      </c>
      <c r="BO24">
        <v>0</v>
      </c>
      <c r="BP24">
        <v>1</v>
      </c>
      <c r="BQ24">
        <v>0</v>
      </c>
      <c r="BR24">
        <v>0</v>
      </c>
      <c r="BS24">
        <v>0</v>
      </c>
      <c r="BT24">
        <v>1321.14645</v>
      </c>
      <c r="BU24">
        <v>9.315</v>
      </c>
      <c r="BV24">
        <v>0</v>
      </c>
      <c r="BW24">
        <v>1</v>
      </c>
      <c r="CX24">
        <f>Y24*Source!I28</f>
        <v>3.61422</v>
      </c>
      <c r="CY24">
        <f>AD24</f>
        <v>141.83</v>
      </c>
      <c r="CZ24">
        <f>AH24</f>
        <v>141.83</v>
      </c>
      <c r="DA24">
        <f>AL24</f>
        <v>1</v>
      </c>
      <c r="DB24">
        <v>0</v>
      </c>
    </row>
    <row r="25" spans="1:106" ht="12.75">
      <c r="A25">
        <f>ROW(Source!A28)</f>
        <v>28</v>
      </c>
      <c r="B25">
        <v>26994759</v>
      </c>
      <c r="C25">
        <v>26995711</v>
      </c>
      <c r="D25">
        <v>121548</v>
      </c>
      <c r="E25">
        <v>1</v>
      </c>
      <c r="F25">
        <v>1</v>
      </c>
      <c r="G25">
        <v>1</v>
      </c>
      <c r="H25">
        <v>1</v>
      </c>
      <c r="I25" t="s">
        <v>26</v>
      </c>
      <c r="K25" t="s">
        <v>358</v>
      </c>
      <c r="L25">
        <v>608254</v>
      </c>
      <c r="N25">
        <v>1013</v>
      </c>
      <c r="O25" t="s">
        <v>359</v>
      </c>
      <c r="P25" t="s">
        <v>359</v>
      </c>
      <c r="Q25">
        <v>1</v>
      </c>
      <c r="W25">
        <v>0</v>
      </c>
      <c r="X25">
        <v>-185737400</v>
      </c>
      <c r="Y25">
        <v>0.0125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1</v>
      </c>
      <c r="AQ25">
        <v>1</v>
      </c>
      <c r="AR25">
        <v>0</v>
      </c>
      <c r="AT25">
        <v>0.01</v>
      </c>
      <c r="AU25" t="s">
        <v>17</v>
      </c>
      <c r="AV25">
        <v>2</v>
      </c>
      <c r="AW25">
        <v>2</v>
      </c>
      <c r="AX25">
        <v>26995718</v>
      </c>
      <c r="AY25">
        <v>1</v>
      </c>
      <c r="AZ25">
        <v>0</v>
      </c>
      <c r="BA25">
        <v>36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0.01</v>
      </c>
      <c r="BP25">
        <v>1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0.0125</v>
      </c>
      <c r="BW25">
        <v>1</v>
      </c>
      <c r="CX25">
        <f>Y25*Source!I28</f>
        <v>0.00485</v>
      </c>
      <c r="CY25">
        <f>AD25</f>
        <v>0</v>
      </c>
      <c r="CZ25">
        <f>AH25</f>
        <v>0</v>
      </c>
      <c r="DA25">
        <f>AL25</f>
        <v>1</v>
      </c>
      <c r="DB25">
        <v>0</v>
      </c>
    </row>
    <row r="26" spans="1:106" ht="12.75">
      <c r="A26">
        <f>ROW(Source!A28)</f>
        <v>28</v>
      </c>
      <c r="B26">
        <v>26994759</v>
      </c>
      <c r="C26">
        <v>26995711</v>
      </c>
      <c r="D26">
        <v>24312004</v>
      </c>
      <c r="E26">
        <v>1</v>
      </c>
      <c r="F26">
        <v>1</v>
      </c>
      <c r="G26">
        <v>1</v>
      </c>
      <c r="H26">
        <v>2</v>
      </c>
      <c r="I26" t="s">
        <v>389</v>
      </c>
      <c r="J26" t="s">
        <v>390</v>
      </c>
      <c r="K26" t="s">
        <v>391</v>
      </c>
      <c r="L26">
        <v>1368</v>
      </c>
      <c r="N26">
        <v>1011</v>
      </c>
      <c r="O26" t="s">
        <v>327</v>
      </c>
      <c r="P26" t="s">
        <v>327</v>
      </c>
      <c r="Q26">
        <v>1</v>
      </c>
      <c r="W26">
        <v>0</v>
      </c>
      <c r="X26">
        <v>1499254570</v>
      </c>
      <c r="Y26">
        <v>0.0125</v>
      </c>
      <c r="AA26">
        <v>0</v>
      </c>
      <c r="AB26">
        <v>246.77</v>
      </c>
      <c r="AC26">
        <v>0</v>
      </c>
      <c r="AD26">
        <v>0</v>
      </c>
      <c r="AE26">
        <v>0</v>
      </c>
      <c r="AF26">
        <v>246.77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1</v>
      </c>
      <c r="AQ26">
        <v>1</v>
      </c>
      <c r="AR26">
        <v>0</v>
      </c>
      <c r="AT26">
        <v>0.01</v>
      </c>
      <c r="AU26" t="s">
        <v>17</v>
      </c>
      <c r="AV26">
        <v>0</v>
      </c>
      <c r="AW26">
        <v>2</v>
      </c>
      <c r="AX26">
        <v>26995719</v>
      </c>
      <c r="AY26">
        <v>2</v>
      </c>
      <c r="AZ26">
        <v>98304</v>
      </c>
      <c r="BA26">
        <v>37</v>
      </c>
      <c r="BB26">
        <v>1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2.4677000000000002</v>
      </c>
      <c r="BL26">
        <v>0</v>
      </c>
      <c r="BM26">
        <v>0</v>
      </c>
      <c r="BN26">
        <v>0</v>
      </c>
      <c r="BO26">
        <v>0</v>
      </c>
      <c r="BP26">
        <v>1</v>
      </c>
      <c r="BQ26">
        <v>0</v>
      </c>
      <c r="BR26">
        <v>3.0846250000000004</v>
      </c>
      <c r="BS26">
        <v>0</v>
      </c>
      <c r="BT26">
        <v>0</v>
      </c>
      <c r="BU26">
        <v>0</v>
      </c>
      <c r="BV26">
        <v>0</v>
      </c>
      <c r="BW26">
        <v>1</v>
      </c>
      <c r="CX26">
        <f>Y26*Source!I28</f>
        <v>0.00485</v>
      </c>
      <c r="CY26">
        <f>AB26</f>
        <v>246.77</v>
      </c>
      <c r="CZ26">
        <f>AF26</f>
        <v>246.77</v>
      </c>
      <c r="DA26">
        <f>AJ26</f>
        <v>1</v>
      </c>
      <c r="DB26">
        <v>0</v>
      </c>
    </row>
    <row r="27" spans="1:106" ht="12.75">
      <c r="A27">
        <f>ROW(Source!A28)</f>
        <v>28</v>
      </c>
      <c r="B27">
        <v>26994759</v>
      </c>
      <c r="C27">
        <v>26995711</v>
      </c>
      <c r="D27">
        <v>24302728</v>
      </c>
      <c r="E27">
        <v>1</v>
      </c>
      <c r="F27">
        <v>1</v>
      </c>
      <c r="G27">
        <v>1</v>
      </c>
      <c r="H27">
        <v>3</v>
      </c>
      <c r="I27" t="s">
        <v>392</v>
      </c>
      <c r="J27" t="s">
        <v>393</v>
      </c>
      <c r="K27" t="s">
        <v>394</v>
      </c>
      <c r="L27">
        <v>1346</v>
      </c>
      <c r="N27">
        <v>1009</v>
      </c>
      <c r="O27" t="s">
        <v>341</v>
      </c>
      <c r="P27" t="s">
        <v>341</v>
      </c>
      <c r="Q27">
        <v>1</v>
      </c>
      <c r="W27">
        <v>0</v>
      </c>
      <c r="X27">
        <v>-294913766</v>
      </c>
      <c r="Y27">
        <v>0.1</v>
      </c>
      <c r="AA27">
        <v>52.32</v>
      </c>
      <c r="AB27">
        <v>0</v>
      </c>
      <c r="AC27">
        <v>0</v>
      </c>
      <c r="AD27">
        <v>0</v>
      </c>
      <c r="AE27">
        <v>52.32</v>
      </c>
      <c r="AF27">
        <v>0</v>
      </c>
      <c r="AG27">
        <v>0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1</v>
      </c>
      <c r="AQ27">
        <v>1</v>
      </c>
      <c r="AR27">
        <v>0</v>
      </c>
      <c r="AT27">
        <v>0.1</v>
      </c>
      <c r="AV27">
        <v>0</v>
      </c>
      <c r="AW27">
        <v>2</v>
      </c>
      <c r="AX27">
        <v>26995721</v>
      </c>
      <c r="AY27">
        <v>2</v>
      </c>
      <c r="AZ27">
        <v>16384</v>
      </c>
      <c r="BA27">
        <v>39</v>
      </c>
      <c r="BB27">
        <v>1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5.232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5.232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CX27">
        <f>Y27*Source!I28</f>
        <v>0.0388</v>
      </c>
      <c r="CY27">
        <f>AA27</f>
        <v>52.32</v>
      </c>
      <c r="CZ27">
        <f>AE27</f>
        <v>52.32</v>
      </c>
      <c r="DA27">
        <f>AI27</f>
        <v>1</v>
      </c>
      <c r="DB27">
        <v>0</v>
      </c>
    </row>
    <row r="28" spans="1:106" ht="12.75">
      <c r="A28">
        <f>ROW(Source!A28)</f>
        <v>28</v>
      </c>
      <c r="B28">
        <v>26994759</v>
      </c>
      <c r="C28">
        <v>26995711</v>
      </c>
      <c r="D28">
        <v>24327390</v>
      </c>
      <c r="E28">
        <v>1</v>
      </c>
      <c r="F28">
        <v>1</v>
      </c>
      <c r="G28">
        <v>1</v>
      </c>
      <c r="H28">
        <v>3</v>
      </c>
      <c r="I28" t="s">
        <v>395</v>
      </c>
      <c r="J28" t="s">
        <v>396</v>
      </c>
      <c r="K28" t="s">
        <v>397</v>
      </c>
      <c r="L28">
        <v>1348</v>
      </c>
      <c r="N28">
        <v>1009</v>
      </c>
      <c r="O28" t="s">
        <v>203</v>
      </c>
      <c r="P28" t="s">
        <v>203</v>
      </c>
      <c r="Q28">
        <v>1000</v>
      </c>
      <c r="W28">
        <v>0</v>
      </c>
      <c r="X28">
        <v>1785764018</v>
      </c>
      <c r="Y28">
        <v>0.013</v>
      </c>
      <c r="AA28">
        <v>35593.22</v>
      </c>
      <c r="AB28">
        <v>0</v>
      </c>
      <c r="AC28">
        <v>0</v>
      </c>
      <c r="AD28">
        <v>0</v>
      </c>
      <c r="AE28">
        <v>35593.22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1</v>
      </c>
      <c r="AQ28">
        <v>1</v>
      </c>
      <c r="AR28">
        <v>0</v>
      </c>
      <c r="AT28">
        <v>0.013</v>
      </c>
      <c r="AV28">
        <v>0</v>
      </c>
      <c r="AW28">
        <v>2</v>
      </c>
      <c r="AX28">
        <v>26995722</v>
      </c>
      <c r="AY28">
        <v>2</v>
      </c>
      <c r="AZ28">
        <v>16384</v>
      </c>
      <c r="BA28">
        <v>40</v>
      </c>
      <c r="BB28">
        <v>1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462.71186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1</v>
      </c>
      <c r="BQ28">
        <v>462.71186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1</v>
      </c>
      <c r="CX28">
        <f>Y28*Source!I28</f>
        <v>0.005044</v>
      </c>
      <c r="CY28">
        <f>AA28</f>
        <v>35593.22</v>
      </c>
      <c r="CZ28">
        <f>AE28</f>
        <v>35593.22</v>
      </c>
      <c r="DA28">
        <f>AI28</f>
        <v>1</v>
      </c>
      <c r="DB28">
        <v>0</v>
      </c>
    </row>
    <row r="29" spans="1:106" ht="12.75">
      <c r="A29">
        <f>ROW(Source!A29)</f>
        <v>29</v>
      </c>
      <c r="B29">
        <v>26994759</v>
      </c>
      <c r="C29">
        <v>26995723</v>
      </c>
      <c r="D29">
        <v>9415493</v>
      </c>
      <c r="E29">
        <v>1</v>
      </c>
      <c r="F29">
        <v>1</v>
      </c>
      <c r="G29">
        <v>1</v>
      </c>
      <c r="H29">
        <v>1</v>
      </c>
      <c r="I29" t="s">
        <v>398</v>
      </c>
      <c r="K29" t="s">
        <v>399</v>
      </c>
      <c r="L29">
        <v>1369</v>
      </c>
      <c r="N29">
        <v>1013</v>
      </c>
      <c r="O29" t="s">
        <v>323</v>
      </c>
      <c r="P29" t="s">
        <v>323</v>
      </c>
      <c r="Q29">
        <v>1</v>
      </c>
      <c r="W29">
        <v>0</v>
      </c>
      <c r="X29">
        <v>1774247228</v>
      </c>
      <c r="Y29">
        <v>58.76</v>
      </c>
      <c r="AA29">
        <v>0</v>
      </c>
      <c r="AB29">
        <v>0</v>
      </c>
      <c r="AC29">
        <v>0</v>
      </c>
      <c r="AD29">
        <v>125.72</v>
      </c>
      <c r="AE29">
        <v>0</v>
      </c>
      <c r="AF29">
        <v>0</v>
      </c>
      <c r="AG29">
        <v>0</v>
      </c>
      <c r="AH29">
        <v>125.72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0</v>
      </c>
      <c r="AP29">
        <v>1</v>
      </c>
      <c r="AQ29">
        <v>1</v>
      </c>
      <c r="AR29">
        <v>0</v>
      </c>
      <c r="AT29">
        <v>29.38</v>
      </c>
      <c r="AU29" t="s">
        <v>46</v>
      </c>
      <c r="AV29">
        <v>1</v>
      </c>
      <c r="AW29">
        <v>2</v>
      </c>
      <c r="AX29">
        <v>26995726</v>
      </c>
      <c r="AY29">
        <v>2</v>
      </c>
      <c r="AZ29">
        <v>131072</v>
      </c>
      <c r="BA29">
        <v>41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3693.6535999999996</v>
      </c>
      <c r="BN29">
        <v>29.38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7387.307199999999</v>
      </c>
      <c r="BU29">
        <v>58.76</v>
      </c>
      <c r="BV29">
        <v>0</v>
      </c>
      <c r="BW29">
        <v>1</v>
      </c>
      <c r="CX29">
        <f>Y29*Source!I29</f>
        <v>22.79888</v>
      </c>
      <c r="CY29">
        <f>AD29</f>
        <v>125.72</v>
      </c>
      <c r="CZ29">
        <f>AH29</f>
        <v>125.72</v>
      </c>
      <c r="DA29">
        <f>AL29</f>
        <v>1</v>
      </c>
      <c r="DB29">
        <v>0</v>
      </c>
    </row>
    <row r="30" spans="1:106" ht="12.75">
      <c r="A30">
        <f>ROW(Source!A29)</f>
        <v>29</v>
      </c>
      <c r="B30">
        <v>26994759</v>
      </c>
      <c r="C30">
        <v>26995723</v>
      </c>
      <c r="D30">
        <v>0</v>
      </c>
      <c r="E30">
        <v>0</v>
      </c>
      <c r="F30">
        <v>1</v>
      </c>
      <c r="G30">
        <v>1</v>
      </c>
      <c r="H30">
        <v>3</v>
      </c>
      <c r="K30" t="s">
        <v>344</v>
      </c>
      <c r="L30">
        <v>1348</v>
      </c>
      <c r="N30">
        <v>1009</v>
      </c>
      <c r="O30" t="s">
        <v>203</v>
      </c>
      <c r="P30" t="s">
        <v>203</v>
      </c>
      <c r="Q30">
        <v>1000</v>
      </c>
      <c r="W30">
        <v>0</v>
      </c>
      <c r="X30">
        <v>-1369614013</v>
      </c>
      <c r="Y30">
        <v>0.0808</v>
      </c>
      <c r="AA30">
        <v>15152.43</v>
      </c>
      <c r="AB30">
        <v>0</v>
      </c>
      <c r="AC30">
        <v>0</v>
      </c>
      <c r="AD30">
        <v>0</v>
      </c>
      <c r="AE30">
        <v>15152.43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0</v>
      </c>
      <c r="AP30">
        <v>1</v>
      </c>
      <c r="AQ30">
        <v>1</v>
      </c>
      <c r="AR30">
        <v>0</v>
      </c>
      <c r="AT30">
        <v>0.0404</v>
      </c>
      <c r="AU30" t="s">
        <v>46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1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612.158172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1</v>
      </c>
      <c r="BQ30">
        <v>1224.316344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1</v>
      </c>
      <c r="CX30">
        <f>Y30*Source!I29</f>
        <v>0.0313504</v>
      </c>
      <c r="CY30">
        <f>AA30</f>
        <v>15152.43</v>
      </c>
      <c r="CZ30">
        <f>AE30</f>
        <v>15152.43</v>
      </c>
      <c r="DA30">
        <f>AI30</f>
        <v>1</v>
      </c>
      <c r="DB30">
        <v>0</v>
      </c>
    </row>
    <row r="31" spans="1:106" ht="12.75">
      <c r="A31">
        <f>ROW(Source!A30)</f>
        <v>30</v>
      </c>
      <c r="B31">
        <v>26994759</v>
      </c>
      <c r="C31">
        <v>27030102</v>
      </c>
      <c r="D31">
        <v>9416104</v>
      </c>
      <c r="E31">
        <v>1</v>
      </c>
      <c r="F31">
        <v>1</v>
      </c>
      <c r="G31">
        <v>1</v>
      </c>
      <c r="H31">
        <v>1</v>
      </c>
      <c r="I31" t="s">
        <v>400</v>
      </c>
      <c r="K31" t="s">
        <v>401</v>
      </c>
      <c r="L31">
        <v>1369</v>
      </c>
      <c r="N31">
        <v>1013</v>
      </c>
      <c r="O31" t="s">
        <v>323</v>
      </c>
      <c r="P31" t="s">
        <v>323</v>
      </c>
      <c r="Q31">
        <v>1</v>
      </c>
      <c r="W31">
        <v>0</v>
      </c>
      <c r="X31">
        <v>1343512101</v>
      </c>
      <c r="Y31">
        <v>19.481</v>
      </c>
      <c r="AA31">
        <v>0</v>
      </c>
      <c r="AB31">
        <v>0</v>
      </c>
      <c r="AC31">
        <v>0</v>
      </c>
      <c r="AD31">
        <v>132.29</v>
      </c>
      <c r="AE31">
        <v>0</v>
      </c>
      <c r="AF31">
        <v>0</v>
      </c>
      <c r="AG31">
        <v>0</v>
      </c>
      <c r="AH31">
        <v>132.29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0</v>
      </c>
      <c r="AP31">
        <v>1</v>
      </c>
      <c r="AQ31">
        <v>1</v>
      </c>
      <c r="AR31">
        <v>0</v>
      </c>
      <c r="AT31">
        <v>16.94</v>
      </c>
      <c r="AU31" t="s">
        <v>18</v>
      </c>
      <c r="AV31">
        <v>1</v>
      </c>
      <c r="AW31">
        <v>2</v>
      </c>
      <c r="AX31">
        <v>27030111</v>
      </c>
      <c r="AY31">
        <v>2</v>
      </c>
      <c r="AZ31">
        <v>131072</v>
      </c>
      <c r="BA31">
        <v>49</v>
      </c>
      <c r="BB31">
        <v>1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2240.9926</v>
      </c>
      <c r="BN31">
        <v>16.94</v>
      </c>
      <c r="BO31">
        <v>0</v>
      </c>
      <c r="BP31">
        <v>1</v>
      </c>
      <c r="BQ31">
        <v>0</v>
      </c>
      <c r="BR31">
        <v>0</v>
      </c>
      <c r="BS31">
        <v>0</v>
      </c>
      <c r="BT31">
        <v>2577.14149</v>
      </c>
      <c r="BU31">
        <v>19.481</v>
      </c>
      <c r="BV31">
        <v>0</v>
      </c>
      <c r="BW31">
        <v>1</v>
      </c>
      <c r="CX31">
        <f>Y31*Source!I30</f>
        <v>7.558628000000001</v>
      </c>
      <c r="CY31">
        <f>AD31</f>
        <v>132.29</v>
      </c>
      <c r="CZ31">
        <f>AH31</f>
        <v>132.29</v>
      </c>
      <c r="DA31">
        <f>AL31</f>
        <v>1</v>
      </c>
      <c r="DB31">
        <v>0</v>
      </c>
    </row>
    <row r="32" spans="1:106" ht="12.75">
      <c r="A32">
        <f>ROW(Source!A30)</f>
        <v>30</v>
      </c>
      <c r="B32">
        <v>26994759</v>
      </c>
      <c r="C32">
        <v>27030102</v>
      </c>
      <c r="D32">
        <v>121548</v>
      </c>
      <c r="E32">
        <v>1</v>
      </c>
      <c r="F32">
        <v>1</v>
      </c>
      <c r="G32">
        <v>1</v>
      </c>
      <c r="H32">
        <v>1</v>
      </c>
      <c r="I32" t="s">
        <v>26</v>
      </c>
      <c r="K32" t="s">
        <v>358</v>
      </c>
      <c r="L32">
        <v>608254</v>
      </c>
      <c r="N32">
        <v>1013</v>
      </c>
      <c r="O32" t="s">
        <v>359</v>
      </c>
      <c r="P32" t="s">
        <v>359</v>
      </c>
      <c r="Q32">
        <v>1</v>
      </c>
      <c r="W32">
        <v>0</v>
      </c>
      <c r="X32">
        <v>-185737400</v>
      </c>
      <c r="Y32">
        <v>0.0125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0</v>
      </c>
      <c r="AP32">
        <v>1</v>
      </c>
      <c r="AQ32">
        <v>1</v>
      </c>
      <c r="AR32">
        <v>0</v>
      </c>
      <c r="AT32">
        <v>0.01</v>
      </c>
      <c r="AU32" t="s">
        <v>17</v>
      </c>
      <c r="AV32">
        <v>2</v>
      </c>
      <c r="AW32">
        <v>2</v>
      </c>
      <c r="AX32">
        <v>27030112</v>
      </c>
      <c r="AY32">
        <v>1</v>
      </c>
      <c r="AZ32">
        <v>0</v>
      </c>
      <c r="BA32">
        <v>50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0.01</v>
      </c>
      <c r="BP32">
        <v>1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0.0125</v>
      </c>
      <c r="BW32">
        <v>1</v>
      </c>
      <c r="CX32">
        <f>Y32*Source!I30</f>
        <v>0.00485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ht="12.75">
      <c r="A33">
        <f>ROW(Source!A30)</f>
        <v>30</v>
      </c>
      <c r="B33">
        <v>26994759</v>
      </c>
      <c r="C33">
        <v>27030102</v>
      </c>
      <c r="D33">
        <v>24312004</v>
      </c>
      <c r="E33">
        <v>1</v>
      </c>
      <c r="F33">
        <v>1</v>
      </c>
      <c r="G33">
        <v>1</v>
      </c>
      <c r="H33">
        <v>2</v>
      </c>
      <c r="I33" t="s">
        <v>389</v>
      </c>
      <c r="J33" t="s">
        <v>390</v>
      </c>
      <c r="K33" t="s">
        <v>391</v>
      </c>
      <c r="L33">
        <v>1368</v>
      </c>
      <c r="N33">
        <v>1011</v>
      </c>
      <c r="O33" t="s">
        <v>327</v>
      </c>
      <c r="P33" t="s">
        <v>327</v>
      </c>
      <c r="Q33">
        <v>1</v>
      </c>
      <c r="W33">
        <v>0</v>
      </c>
      <c r="X33">
        <v>1499254570</v>
      </c>
      <c r="Y33">
        <v>0.0125</v>
      </c>
      <c r="AA33">
        <v>0</v>
      </c>
      <c r="AB33">
        <v>246.77</v>
      </c>
      <c r="AC33">
        <v>0</v>
      </c>
      <c r="AD33">
        <v>0</v>
      </c>
      <c r="AE33">
        <v>0</v>
      </c>
      <c r="AF33">
        <v>246.77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1</v>
      </c>
      <c r="AQ33">
        <v>1</v>
      </c>
      <c r="AR33">
        <v>0</v>
      </c>
      <c r="AT33">
        <v>0.01</v>
      </c>
      <c r="AU33" t="s">
        <v>17</v>
      </c>
      <c r="AV33">
        <v>0</v>
      </c>
      <c r="AW33">
        <v>2</v>
      </c>
      <c r="AX33">
        <v>27030113</v>
      </c>
      <c r="AY33">
        <v>2</v>
      </c>
      <c r="AZ33">
        <v>98304</v>
      </c>
      <c r="BA33">
        <v>51</v>
      </c>
      <c r="BB33">
        <v>1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2.4677000000000002</v>
      </c>
      <c r="BL33">
        <v>0</v>
      </c>
      <c r="BM33">
        <v>0</v>
      </c>
      <c r="BN33">
        <v>0</v>
      </c>
      <c r="BO33">
        <v>0</v>
      </c>
      <c r="BP33">
        <v>1</v>
      </c>
      <c r="BQ33">
        <v>0</v>
      </c>
      <c r="BR33">
        <v>3.0846250000000004</v>
      </c>
      <c r="BS33">
        <v>0</v>
      </c>
      <c r="BT33">
        <v>0</v>
      </c>
      <c r="BU33">
        <v>0</v>
      </c>
      <c r="BV33">
        <v>0</v>
      </c>
      <c r="BW33">
        <v>1</v>
      </c>
      <c r="CX33">
        <f>Y33*Source!I30</f>
        <v>0.00485</v>
      </c>
      <c r="CY33">
        <f>AB33</f>
        <v>246.77</v>
      </c>
      <c r="CZ33">
        <f>AF33</f>
        <v>246.77</v>
      </c>
      <c r="DA33">
        <f>AJ33</f>
        <v>1</v>
      </c>
      <c r="DB33">
        <v>0</v>
      </c>
    </row>
    <row r="34" spans="1:106" ht="12.75">
      <c r="A34">
        <f>ROW(Source!A30)</f>
        <v>30</v>
      </c>
      <c r="B34">
        <v>26994759</v>
      </c>
      <c r="C34">
        <v>27030102</v>
      </c>
      <c r="D34">
        <v>24262102</v>
      </c>
      <c r="E34">
        <v>1</v>
      </c>
      <c r="F34">
        <v>1</v>
      </c>
      <c r="G34">
        <v>1</v>
      </c>
      <c r="H34">
        <v>2</v>
      </c>
      <c r="I34" t="s">
        <v>371</v>
      </c>
      <c r="J34" t="s">
        <v>372</v>
      </c>
      <c r="K34" t="s">
        <v>373</v>
      </c>
      <c r="L34">
        <v>1368</v>
      </c>
      <c r="N34">
        <v>1011</v>
      </c>
      <c r="O34" t="s">
        <v>327</v>
      </c>
      <c r="P34" t="s">
        <v>327</v>
      </c>
      <c r="Q34">
        <v>1</v>
      </c>
      <c r="W34">
        <v>0</v>
      </c>
      <c r="X34">
        <v>596191924</v>
      </c>
      <c r="Y34">
        <v>0.11249999999999999</v>
      </c>
      <c r="AA34">
        <v>0</v>
      </c>
      <c r="AB34">
        <v>691.3</v>
      </c>
      <c r="AC34">
        <v>0</v>
      </c>
      <c r="AD34">
        <v>0</v>
      </c>
      <c r="AE34">
        <v>0</v>
      </c>
      <c r="AF34">
        <v>691.3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1</v>
      </c>
      <c r="AQ34">
        <v>1</v>
      </c>
      <c r="AR34">
        <v>0</v>
      </c>
      <c r="AT34">
        <v>0.09</v>
      </c>
      <c r="AU34" t="s">
        <v>17</v>
      </c>
      <c r="AV34">
        <v>0</v>
      </c>
      <c r="AW34">
        <v>2</v>
      </c>
      <c r="AX34">
        <v>27030114</v>
      </c>
      <c r="AY34">
        <v>2</v>
      </c>
      <c r="AZ34">
        <v>98304</v>
      </c>
      <c r="BA34">
        <v>52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62.21699999999999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0</v>
      </c>
      <c r="BR34">
        <v>77.77124999999998</v>
      </c>
      <c r="BS34">
        <v>0</v>
      </c>
      <c r="BT34">
        <v>0</v>
      </c>
      <c r="BU34">
        <v>0</v>
      </c>
      <c r="BV34">
        <v>0</v>
      </c>
      <c r="BW34">
        <v>1</v>
      </c>
      <c r="CX34">
        <f>Y34*Source!I30</f>
        <v>0.043649999999999994</v>
      </c>
      <c r="CY34">
        <f>AB34</f>
        <v>691.3</v>
      </c>
      <c r="CZ34">
        <f>AF34</f>
        <v>691.3</v>
      </c>
      <c r="DA34">
        <f>AJ34</f>
        <v>1</v>
      </c>
      <c r="DB34">
        <v>0</v>
      </c>
    </row>
    <row r="35" spans="1:106" ht="12.75">
      <c r="A35">
        <f>ROW(Source!A30)</f>
        <v>30</v>
      </c>
      <c r="B35">
        <v>26994759</v>
      </c>
      <c r="C35">
        <v>27030102</v>
      </c>
      <c r="D35">
        <v>24331087</v>
      </c>
      <c r="E35">
        <v>1</v>
      </c>
      <c r="F35">
        <v>1</v>
      </c>
      <c r="G35">
        <v>1</v>
      </c>
      <c r="H35">
        <v>3</v>
      </c>
      <c r="I35" t="s">
        <v>402</v>
      </c>
      <c r="J35" t="s">
        <v>403</v>
      </c>
      <c r="K35" t="s">
        <v>404</v>
      </c>
      <c r="L35">
        <v>1327</v>
      </c>
      <c r="N35">
        <v>1005</v>
      </c>
      <c r="O35" t="s">
        <v>348</v>
      </c>
      <c r="P35" t="s">
        <v>348</v>
      </c>
      <c r="Q35">
        <v>1</v>
      </c>
      <c r="W35">
        <v>0</v>
      </c>
      <c r="X35">
        <v>1375622301</v>
      </c>
      <c r="Y35">
        <v>0.33</v>
      </c>
      <c r="AA35">
        <v>406.78</v>
      </c>
      <c r="AB35">
        <v>0</v>
      </c>
      <c r="AC35">
        <v>0</v>
      </c>
      <c r="AD35">
        <v>0</v>
      </c>
      <c r="AE35">
        <v>406.78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1</v>
      </c>
      <c r="AR35">
        <v>0</v>
      </c>
      <c r="AT35">
        <v>0.33</v>
      </c>
      <c r="AV35">
        <v>0</v>
      </c>
      <c r="AW35">
        <v>2</v>
      </c>
      <c r="AX35">
        <v>27030115</v>
      </c>
      <c r="AY35">
        <v>2</v>
      </c>
      <c r="AZ35">
        <v>16384</v>
      </c>
      <c r="BA35">
        <v>53</v>
      </c>
      <c r="BB35">
        <v>1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134.2374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134.2374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1</v>
      </c>
      <c r="CX35">
        <f>Y35*Source!I30</f>
        <v>0.12804000000000001</v>
      </c>
      <c r="CY35">
        <f>AA35</f>
        <v>406.78</v>
      </c>
      <c r="CZ35">
        <f>AE35</f>
        <v>406.78</v>
      </c>
      <c r="DA35">
        <f>AI35</f>
        <v>1</v>
      </c>
      <c r="DB35">
        <v>0</v>
      </c>
    </row>
    <row r="36" spans="1:106" ht="12.75">
      <c r="A36">
        <f>ROW(Source!A30)</f>
        <v>30</v>
      </c>
      <c r="B36">
        <v>26994759</v>
      </c>
      <c r="C36">
        <v>27030102</v>
      </c>
      <c r="D36">
        <v>24313317</v>
      </c>
      <c r="E36">
        <v>1</v>
      </c>
      <c r="F36">
        <v>1</v>
      </c>
      <c r="G36">
        <v>1</v>
      </c>
      <c r="H36">
        <v>3</v>
      </c>
      <c r="I36" t="s">
        <v>405</v>
      </c>
      <c r="J36" t="s">
        <v>406</v>
      </c>
      <c r="K36" t="s">
        <v>344</v>
      </c>
      <c r="L36">
        <v>1348</v>
      </c>
      <c r="N36">
        <v>1009</v>
      </c>
      <c r="O36" t="s">
        <v>203</v>
      </c>
      <c r="P36" t="s">
        <v>203</v>
      </c>
      <c r="Q36">
        <v>1000</v>
      </c>
      <c r="W36">
        <v>0</v>
      </c>
      <c r="X36">
        <v>76460565</v>
      </c>
      <c r="Y36">
        <v>0.0055</v>
      </c>
      <c r="AA36">
        <v>15152.43</v>
      </c>
      <c r="AB36">
        <v>0</v>
      </c>
      <c r="AC36">
        <v>0</v>
      </c>
      <c r="AD36">
        <v>0</v>
      </c>
      <c r="AE36">
        <v>15152.43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1</v>
      </c>
      <c r="AR36">
        <v>0</v>
      </c>
      <c r="AT36">
        <v>0.0055</v>
      </c>
      <c r="AV36">
        <v>0</v>
      </c>
      <c r="AW36">
        <v>2</v>
      </c>
      <c r="AX36">
        <v>27030116</v>
      </c>
      <c r="AY36">
        <v>2</v>
      </c>
      <c r="AZ36">
        <v>16384</v>
      </c>
      <c r="BA36">
        <v>54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83.338365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1</v>
      </c>
      <c r="BQ36">
        <v>83.338365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1</v>
      </c>
      <c r="CX36">
        <f>Y36*Source!I30</f>
        <v>0.002134</v>
      </c>
      <c r="CY36">
        <f>AA36</f>
        <v>15152.43</v>
      </c>
      <c r="CZ36">
        <f>AE36</f>
        <v>15152.43</v>
      </c>
      <c r="DA36">
        <f>AI36</f>
        <v>1</v>
      </c>
      <c r="DB36">
        <v>0</v>
      </c>
    </row>
    <row r="37" spans="1:106" ht="12.75">
      <c r="A37">
        <f>ROW(Source!A30)</f>
        <v>30</v>
      </c>
      <c r="B37">
        <v>26994759</v>
      </c>
      <c r="C37">
        <v>27030102</v>
      </c>
      <c r="D37">
        <v>24302728</v>
      </c>
      <c r="E37">
        <v>1</v>
      </c>
      <c r="F37">
        <v>1</v>
      </c>
      <c r="G37">
        <v>1</v>
      </c>
      <c r="H37">
        <v>3</v>
      </c>
      <c r="I37" t="s">
        <v>392</v>
      </c>
      <c r="J37" t="s">
        <v>393</v>
      </c>
      <c r="K37" t="s">
        <v>394</v>
      </c>
      <c r="L37">
        <v>1346</v>
      </c>
      <c r="N37">
        <v>1009</v>
      </c>
      <c r="O37" t="s">
        <v>341</v>
      </c>
      <c r="P37" t="s">
        <v>341</v>
      </c>
      <c r="Q37">
        <v>1</v>
      </c>
      <c r="W37">
        <v>0</v>
      </c>
      <c r="X37">
        <v>-294913766</v>
      </c>
      <c r="Y37">
        <v>0.11</v>
      </c>
      <c r="AA37">
        <v>52.32</v>
      </c>
      <c r="AB37">
        <v>0</v>
      </c>
      <c r="AC37">
        <v>0</v>
      </c>
      <c r="AD37">
        <v>0</v>
      </c>
      <c r="AE37">
        <v>52.32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1</v>
      </c>
      <c r="AR37">
        <v>0</v>
      </c>
      <c r="AT37">
        <v>0.11</v>
      </c>
      <c r="AV37">
        <v>0</v>
      </c>
      <c r="AW37">
        <v>2</v>
      </c>
      <c r="AX37">
        <v>27030117</v>
      </c>
      <c r="AY37">
        <v>2</v>
      </c>
      <c r="AZ37">
        <v>16384</v>
      </c>
      <c r="BA37">
        <v>55</v>
      </c>
      <c r="BB37">
        <v>1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5.7552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1</v>
      </c>
      <c r="BQ37">
        <v>5.7552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1</v>
      </c>
      <c r="CX37">
        <f>Y37*Source!I30</f>
        <v>0.04268</v>
      </c>
      <c r="CY37">
        <f>AA37</f>
        <v>52.32</v>
      </c>
      <c r="CZ37">
        <f>AE37</f>
        <v>52.32</v>
      </c>
      <c r="DA37">
        <f>AI37</f>
        <v>1</v>
      </c>
      <c r="DB37">
        <v>0</v>
      </c>
    </row>
    <row r="38" spans="1:106" ht="12.75">
      <c r="A38">
        <f>ROW(Source!A30)</f>
        <v>30</v>
      </c>
      <c r="B38">
        <v>26994759</v>
      </c>
      <c r="C38">
        <v>27030102</v>
      </c>
      <c r="D38">
        <v>24577300</v>
      </c>
      <c r="E38">
        <v>1</v>
      </c>
      <c r="F38">
        <v>1</v>
      </c>
      <c r="G38">
        <v>1</v>
      </c>
      <c r="H38">
        <v>3</v>
      </c>
      <c r="I38" t="s">
        <v>407</v>
      </c>
      <c r="J38" t="s">
        <v>408</v>
      </c>
      <c r="K38" t="s">
        <v>409</v>
      </c>
      <c r="L38">
        <v>1348</v>
      </c>
      <c r="N38">
        <v>1009</v>
      </c>
      <c r="O38" t="s">
        <v>203</v>
      </c>
      <c r="P38" t="s">
        <v>203</v>
      </c>
      <c r="Q38">
        <v>1000</v>
      </c>
      <c r="W38">
        <v>0</v>
      </c>
      <c r="X38">
        <v>1835545494</v>
      </c>
      <c r="Y38">
        <v>0.057</v>
      </c>
      <c r="AA38">
        <v>106810</v>
      </c>
      <c r="AB38">
        <v>0</v>
      </c>
      <c r="AC38">
        <v>0</v>
      </c>
      <c r="AD38">
        <v>0</v>
      </c>
      <c r="AE38">
        <v>106810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0</v>
      </c>
      <c r="AP38">
        <v>0</v>
      </c>
      <c r="AQ38">
        <v>1</v>
      </c>
      <c r="AR38">
        <v>0</v>
      </c>
      <c r="AT38">
        <v>0.057</v>
      </c>
      <c r="AV38">
        <v>0</v>
      </c>
      <c r="AW38">
        <v>2</v>
      </c>
      <c r="AX38">
        <v>27030118</v>
      </c>
      <c r="AY38">
        <v>2</v>
      </c>
      <c r="AZ38">
        <v>16384</v>
      </c>
      <c r="BA38">
        <v>56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6088.17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</v>
      </c>
      <c r="BQ38">
        <v>6088.17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1</v>
      </c>
      <c r="CX38">
        <f>Y38*Source!I30</f>
        <v>0.022116</v>
      </c>
      <c r="CY38">
        <f>AA38</f>
        <v>106810</v>
      </c>
      <c r="CZ38">
        <f>AE38</f>
        <v>106810</v>
      </c>
      <c r="DA38">
        <f>AI38</f>
        <v>1</v>
      </c>
      <c r="DB38">
        <v>0</v>
      </c>
    </row>
    <row r="39" spans="1:106" ht="12.75">
      <c r="A39">
        <f>ROW(Source!A31)</f>
        <v>31</v>
      </c>
      <c r="B39">
        <v>26994759</v>
      </c>
      <c r="C39">
        <v>27030684</v>
      </c>
      <c r="D39">
        <v>9415352</v>
      </c>
      <c r="E39">
        <v>1</v>
      </c>
      <c r="F39">
        <v>1</v>
      </c>
      <c r="G39">
        <v>1</v>
      </c>
      <c r="H39">
        <v>1</v>
      </c>
      <c r="I39" t="s">
        <v>387</v>
      </c>
      <c r="K39" t="s">
        <v>388</v>
      </c>
      <c r="L39">
        <v>1369</v>
      </c>
      <c r="N39">
        <v>1013</v>
      </c>
      <c r="O39" t="s">
        <v>323</v>
      </c>
      <c r="P39" t="s">
        <v>323</v>
      </c>
      <c r="Q39">
        <v>1</v>
      </c>
      <c r="W39">
        <v>0</v>
      </c>
      <c r="X39">
        <v>-1673341983</v>
      </c>
      <c r="Y39">
        <v>7.532499999999999</v>
      </c>
      <c r="AA39">
        <v>0</v>
      </c>
      <c r="AB39">
        <v>0</v>
      </c>
      <c r="AC39">
        <v>0</v>
      </c>
      <c r="AD39">
        <v>141.83</v>
      </c>
      <c r="AE39">
        <v>0</v>
      </c>
      <c r="AF39">
        <v>0</v>
      </c>
      <c r="AG39">
        <v>0</v>
      </c>
      <c r="AH39">
        <v>141.83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0</v>
      </c>
      <c r="AP39">
        <v>1</v>
      </c>
      <c r="AQ39">
        <v>1</v>
      </c>
      <c r="AR39">
        <v>0</v>
      </c>
      <c r="AT39">
        <v>6.55</v>
      </c>
      <c r="AU39" t="s">
        <v>18</v>
      </c>
      <c r="AV39">
        <v>1</v>
      </c>
      <c r="AW39">
        <v>2</v>
      </c>
      <c r="AX39">
        <v>27030690</v>
      </c>
      <c r="AY39">
        <v>2</v>
      </c>
      <c r="AZ39">
        <v>131072</v>
      </c>
      <c r="BA39">
        <v>57</v>
      </c>
      <c r="BB39">
        <v>1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928.9865000000001</v>
      </c>
      <c r="BN39">
        <v>6.55</v>
      </c>
      <c r="BO39">
        <v>0</v>
      </c>
      <c r="BP39">
        <v>1</v>
      </c>
      <c r="BQ39">
        <v>0</v>
      </c>
      <c r="BR39">
        <v>0</v>
      </c>
      <c r="BS39">
        <v>0</v>
      </c>
      <c r="BT39">
        <v>1068.3344749999999</v>
      </c>
      <c r="BU39">
        <v>7.532499999999999</v>
      </c>
      <c r="BV39">
        <v>0</v>
      </c>
      <c r="BW39">
        <v>1</v>
      </c>
      <c r="CX39">
        <f>Y39*Source!I31</f>
        <v>5.558984999999999</v>
      </c>
      <c r="CY39">
        <f>AD39</f>
        <v>141.83</v>
      </c>
      <c r="CZ39">
        <f>AH39</f>
        <v>141.83</v>
      </c>
      <c r="DA39">
        <f>AL39</f>
        <v>1</v>
      </c>
      <c r="DB39">
        <v>0</v>
      </c>
    </row>
    <row r="40" spans="1:106" ht="12.75">
      <c r="A40">
        <f>ROW(Source!A31)</f>
        <v>31</v>
      </c>
      <c r="B40">
        <v>26994759</v>
      </c>
      <c r="C40">
        <v>27030684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26</v>
      </c>
      <c r="K40" t="s">
        <v>358</v>
      </c>
      <c r="L40">
        <v>608254</v>
      </c>
      <c r="N40">
        <v>1013</v>
      </c>
      <c r="O40" t="s">
        <v>359</v>
      </c>
      <c r="P40" t="s">
        <v>359</v>
      </c>
      <c r="Q40">
        <v>1</v>
      </c>
      <c r="W40">
        <v>0</v>
      </c>
      <c r="X40">
        <v>-185737400</v>
      </c>
      <c r="Y40">
        <v>0.0125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0</v>
      </c>
      <c r="AP40">
        <v>1</v>
      </c>
      <c r="AQ40">
        <v>1</v>
      </c>
      <c r="AR40">
        <v>0</v>
      </c>
      <c r="AT40">
        <v>0.01</v>
      </c>
      <c r="AU40" t="s">
        <v>17</v>
      </c>
      <c r="AV40">
        <v>2</v>
      </c>
      <c r="AW40">
        <v>2</v>
      </c>
      <c r="AX40">
        <v>27030691</v>
      </c>
      <c r="AY40">
        <v>1</v>
      </c>
      <c r="AZ40">
        <v>0</v>
      </c>
      <c r="BA40">
        <v>58</v>
      </c>
      <c r="BB40">
        <v>1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0.01</v>
      </c>
      <c r="BP40">
        <v>1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0.0125</v>
      </c>
      <c r="BW40">
        <v>1</v>
      </c>
      <c r="CX40">
        <f>Y40*Source!I31</f>
        <v>0.009225</v>
      </c>
      <c r="CY40">
        <f>AD40</f>
        <v>0</v>
      </c>
      <c r="CZ40">
        <f>AH40</f>
        <v>0</v>
      </c>
      <c r="DA40">
        <f>AL40</f>
        <v>1</v>
      </c>
      <c r="DB40">
        <v>0</v>
      </c>
    </row>
    <row r="41" spans="1:106" ht="12.75">
      <c r="A41">
        <f>ROW(Source!A31)</f>
        <v>31</v>
      </c>
      <c r="B41">
        <v>26994759</v>
      </c>
      <c r="C41">
        <v>27030684</v>
      </c>
      <c r="D41">
        <v>21330172</v>
      </c>
      <c r="E41">
        <v>1</v>
      </c>
      <c r="F41">
        <v>1</v>
      </c>
      <c r="G41">
        <v>1</v>
      </c>
      <c r="H41">
        <v>2</v>
      </c>
      <c r="I41" t="s">
        <v>389</v>
      </c>
      <c r="J41" t="s">
        <v>410</v>
      </c>
      <c r="K41" t="s">
        <v>391</v>
      </c>
      <c r="L41">
        <v>1368</v>
      </c>
      <c r="N41">
        <v>1011</v>
      </c>
      <c r="O41" t="s">
        <v>327</v>
      </c>
      <c r="P41" t="s">
        <v>327</v>
      </c>
      <c r="Q41">
        <v>1</v>
      </c>
      <c r="W41">
        <v>0</v>
      </c>
      <c r="X41">
        <v>-1365545508</v>
      </c>
      <c r="Y41">
        <v>0.0125</v>
      </c>
      <c r="AA41">
        <v>0</v>
      </c>
      <c r="AB41">
        <v>258.94</v>
      </c>
      <c r="AC41">
        <v>0</v>
      </c>
      <c r="AD41">
        <v>0</v>
      </c>
      <c r="AE41">
        <v>0</v>
      </c>
      <c r="AF41">
        <v>258.94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0</v>
      </c>
      <c r="AP41">
        <v>1</v>
      </c>
      <c r="AQ41">
        <v>1</v>
      </c>
      <c r="AR41">
        <v>0</v>
      </c>
      <c r="AT41">
        <v>0.01</v>
      </c>
      <c r="AU41" t="s">
        <v>17</v>
      </c>
      <c r="AV41">
        <v>0</v>
      </c>
      <c r="AW41">
        <v>2</v>
      </c>
      <c r="AX41">
        <v>27030692</v>
      </c>
      <c r="AY41">
        <v>2</v>
      </c>
      <c r="AZ41">
        <v>98304</v>
      </c>
      <c r="BA41">
        <v>59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2.5894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0</v>
      </c>
      <c r="BR41">
        <v>3.2367500000000002</v>
      </c>
      <c r="BS41">
        <v>0</v>
      </c>
      <c r="BT41">
        <v>0</v>
      </c>
      <c r="BU41">
        <v>0</v>
      </c>
      <c r="BV41">
        <v>0</v>
      </c>
      <c r="BW41">
        <v>1</v>
      </c>
      <c r="CX41">
        <f>Y41*Source!I31</f>
        <v>0.009225</v>
      </c>
      <c r="CY41">
        <f>AB41</f>
        <v>258.94</v>
      </c>
      <c r="CZ41">
        <f>AF41</f>
        <v>258.94</v>
      </c>
      <c r="DA41">
        <f>AJ41</f>
        <v>1</v>
      </c>
      <c r="DB41">
        <v>0</v>
      </c>
    </row>
    <row r="42" spans="1:106" ht="12.75">
      <c r="A42">
        <f>ROW(Source!A31)</f>
        <v>31</v>
      </c>
      <c r="B42">
        <v>26994759</v>
      </c>
      <c r="C42">
        <v>27030684</v>
      </c>
      <c r="D42">
        <v>21320836</v>
      </c>
      <c r="E42">
        <v>1</v>
      </c>
      <c r="F42">
        <v>1</v>
      </c>
      <c r="G42">
        <v>1</v>
      </c>
      <c r="H42">
        <v>3</v>
      </c>
      <c r="I42" t="s">
        <v>392</v>
      </c>
      <c r="J42" t="s">
        <v>411</v>
      </c>
      <c r="K42" t="s">
        <v>394</v>
      </c>
      <c r="L42">
        <v>1346</v>
      </c>
      <c r="N42">
        <v>1009</v>
      </c>
      <c r="O42" t="s">
        <v>341</v>
      </c>
      <c r="P42" t="s">
        <v>341</v>
      </c>
      <c r="Q42">
        <v>1</v>
      </c>
      <c r="W42">
        <v>0</v>
      </c>
      <c r="X42">
        <v>371875709</v>
      </c>
      <c r="Y42">
        <v>0.1</v>
      </c>
      <c r="AA42">
        <v>52.82</v>
      </c>
      <c r="AB42">
        <v>0</v>
      </c>
      <c r="AC42">
        <v>0</v>
      </c>
      <c r="AD42">
        <v>0</v>
      </c>
      <c r="AE42">
        <v>52.82</v>
      </c>
      <c r="AF42">
        <v>0</v>
      </c>
      <c r="AG42">
        <v>0</v>
      </c>
      <c r="AH42">
        <v>0</v>
      </c>
      <c r="AI42">
        <v>1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1</v>
      </c>
      <c r="AQ42">
        <v>1</v>
      </c>
      <c r="AR42">
        <v>0</v>
      </c>
      <c r="AT42">
        <v>0.1</v>
      </c>
      <c r="AV42">
        <v>0</v>
      </c>
      <c r="AW42">
        <v>2</v>
      </c>
      <c r="AX42">
        <v>27030694</v>
      </c>
      <c r="AY42">
        <v>2</v>
      </c>
      <c r="AZ42">
        <v>16384</v>
      </c>
      <c r="BA42">
        <v>61</v>
      </c>
      <c r="BB42">
        <v>1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5.282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1</v>
      </c>
      <c r="BQ42">
        <v>5.282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1</v>
      </c>
      <c r="CX42">
        <f>Y42*Source!I31</f>
        <v>0.0738</v>
      </c>
      <c r="CY42">
        <f>AA42</f>
        <v>52.82</v>
      </c>
      <c r="CZ42">
        <f>AE42</f>
        <v>52.82</v>
      </c>
      <c r="DA42">
        <f>AI42</f>
        <v>1</v>
      </c>
      <c r="DB42">
        <v>0</v>
      </c>
    </row>
    <row r="43" spans="1:106" ht="12.75">
      <c r="A43">
        <f>ROW(Source!A31)</f>
        <v>31</v>
      </c>
      <c r="B43">
        <v>26994759</v>
      </c>
      <c r="C43">
        <v>27030684</v>
      </c>
      <c r="D43">
        <v>21345267</v>
      </c>
      <c r="E43">
        <v>1</v>
      </c>
      <c r="F43">
        <v>1</v>
      </c>
      <c r="G43">
        <v>1</v>
      </c>
      <c r="H43">
        <v>3</v>
      </c>
      <c r="I43" t="s">
        <v>395</v>
      </c>
      <c r="J43" t="s">
        <v>412</v>
      </c>
      <c r="K43" t="s">
        <v>397</v>
      </c>
      <c r="L43">
        <v>1348</v>
      </c>
      <c r="N43">
        <v>1009</v>
      </c>
      <c r="O43" t="s">
        <v>203</v>
      </c>
      <c r="P43" t="s">
        <v>203</v>
      </c>
      <c r="Q43">
        <v>1000</v>
      </c>
      <c r="W43">
        <v>0</v>
      </c>
      <c r="X43">
        <v>-1698187799</v>
      </c>
      <c r="Y43">
        <v>0.013</v>
      </c>
      <c r="AA43">
        <v>38983.05</v>
      </c>
      <c r="AB43">
        <v>0</v>
      </c>
      <c r="AC43">
        <v>0</v>
      </c>
      <c r="AD43">
        <v>0</v>
      </c>
      <c r="AE43">
        <v>38983.05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1</v>
      </c>
      <c r="AR43">
        <v>0</v>
      </c>
      <c r="AT43">
        <v>0.013</v>
      </c>
      <c r="AV43">
        <v>0</v>
      </c>
      <c r="AW43">
        <v>2</v>
      </c>
      <c r="AX43">
        <v>27030695</v>
      </c>
      <c r="AY43">
        <v>2</v>
      </c>
      <c r="AZ43">
        <v>16384</v>
      </c>
      <c r="BA43">
        <v>62</v>
      </c>
      <c r="BB43">
        <v>1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506.77965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1</v>
      </c>
      <c r="BQ43">
        <v>506.77965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CX43">
        <f>Y43*Source!I31</f>
        <v>0.009594</v>
      </c>
      <c r="CY43">
        <f>AA43</f>
        <v>38983.05</v>
      </c>
      <c r="CZ43">
        <f>AE43</f>
        <v>38983.05</v>
      </c>
      <c r="DA43">
        <f>AI43</f>
        <v>1</v>
      </c>
      <c r="DB43">
        <v>0</v>
      </c>
    </row>
    <row r="44" spans="1:106" ht="12.75">
      <c r="A44">
        <f>ROW(Source!A32)</f>
        <v>32</v>
      </c>
      <c r="B44">
        <v>26994759</v>
      </c>
      <c r="C44">
        <v>26994943</v>
      </c>
      <c r="D44">
        <v>9415808</v>
      </c>
      <c r="E44">
        <v>1</v>
      </c>
      <c r="F44">
        <v>1</v>
      </c>
      <c r="G44">
        <v>1</v>
      </c>
      <c r="H44">
        <v>1</v>
      </c>
      <c r="I44" t="s">
        <v>413</v>
      </c>
      <c r="K44" t="s">
        <v>414</v>
      </c>
      <c r="L44">
        <v>1369</v>
      </c>
      <c r="N44">
        <v>1013</v>
      </c>
      <c r="O44" t="s">
        <v>323</v>
      </c>
      <c r="P44" t="s">
        <v>323</v>
      </c>
      <c r="Q44">
        <v>1</v>
      </c>
      <c r="W44">
        <v>0</v>
      </c>
      <c r="X44">
        <v>586545355</v>
      </c>
      <c r="Y44">
        <v>23.575</v>
      </c>
      <c r="AA44">
        <v>0</v>
      </c>
      <c r="AB44">
        <v>0</v>
      </c>
      <c r="AC44">
        <v>0</v>
      </c>
      <c r="AD44">
        <v>119.25</v>
      </c>
      <c r="AE44">
        <v>0</v>
      </c>
      <c r="AF44">
        <v>0</v>
      </c>
      <c r="AG44">
        <v>0</v>
      </c>
      <c r="AH44">
        <v>119.25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1</v>
      </c>
      <c r="AQ44">
        <v>1</v>
      </c>
      <c r="AR44">
        <v>0</v>
      </c>
      <c r="AT44">
        <v>20.5</v>
      </c>
      <c r="AU44" t="s">
        <v>18</v>
      </c>
      <c r="AV44">
        <v>1</v>
      </c>
      <c r="AW44">
        <v>2</v>
      </c>
      <c r="AX44">
        <v>26994946</v>
      </c>
      <c r="AY44">
        <v>2</v>
      </c>
      <c r="AZ44">
        <v>131072</v>
      </c>
      <c r="BA44">
        <v>63</v>
      </c>
      <c r="BB44">
        <v>1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2444.625</v>
      </c>
      <c r="BN44">
        <v>20.5</v>
      </c>
      <c r="BO44">
        <v>0</v>
      </c>
      <c r="BP44">
        <v>1</v>
      </c>
      <c r="BQ44">
        <v>0</v>
      </c>
      <c r="BR44">
        <v>0</v>
      </c>
      <c r="BS44">
        <v>0</v>
      </c>
      <c r="BT44">
        <v>2811.31875</v>
      </c>
      <c r="BU44">
        <v>23.575</v>
      </c>
      <c r="BV44">
        <v>0</v>
      </c>
      <c r="BW44">
        <v>1</v>
      </c>
      <c r="CX44">
        <f>Y44*Source!I32</f>
        <v>17.39835</v>
      </c>
      <c r="CY44">
        <f>AD44</f>
        <v>119.25</v>
      </c>
      <c r="CZ44">
        <f>AH44</f>
        <v>119.25</v>
      </c>
      <c r="DA44">
        <f>AL44</f>
        <v>1</v>
      </c>
      <c r="DB44">
        <v>0</v>
      </c>
    </row>
    <row r="45" spans="1:106" ht="12.75">
      <c r="A45">
        <f>ROW(Source!A32)</f>
        <v>32</v>
      </c>
      <c r="B45">
        <v>26994759</v>
      </c>
      <c r="C45">
        <v>26994943</v>
      </c>
      <c r="D45">
        <v>0</v>
      </c>
      <c r="E45">
        <v>0</v>
      </c>
      <c r="F45">
        <v>1</v>
      </c>
      <c r="G45">
        <v>1</v>
      </c>
      <c r="H45">
        <v>3</v>
      </c>
      <c r="K45" t="s">
        <v>415</v>
      </c>
      <c r="L45">
        <v>1371</v>
      </c>
      <c r="N45">
        <v>1013</v>
      </c>
      <c r="O45" t="s">
        <v>335</v>
      </c>
      <c r="P45" t="s">
        <v>335</v>
      </c>
      <c r="Q45">
        <v>1</v>
      </c>
      <c r="W45">
        <v>0</v>
      </c>
      <c r="X45">
        <v>-1660205409</v>
      </c>
      <c r="Y45">
        <v>103.84615384615384</v>
      </c>
      <c r="AA45">
        <v>25.42</v>
      </c>
      <c r="AB45">
        <v>0</v>
      </c>
      <c r="AC45">
        <v>0</v>
      </c>
      <c r="AD45">
        <v>0</v>
      </c>
      <c r="AE45">
        <v>25.42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1</v>
      </c>
      <c r="AQ45">
        <v>1</v>
      </c>
      <c r="AR45">
        <v>0</v>
      </c>
      <c r="AT45">
        <v>103.84615384615384</v>
      </c>
      <c r="AV45">
        <v>0</v>
      </c>
      <c r="AW45">
        <v>1</v>
      </c>
      <c r="AX45">
        <v>-1</v>
      </c>
      <c r="AY45">
        <v>0</v>
      </c>
      <c r="AZ45">
        <v>0</v>
      </c>
      <c r="BB45">
        <v>1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2639.769230769231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1</v>
      </c>
      <c r="BQ45">
        <v>2639.769230769231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CX45">
        <f>Y45*Source!I32</f>
        <v>76.63846153846153</v>
      </c>
      <c r="CY45">
        <f>AA45</f>
        <v>25.42</v>
      </c>
      <c r="CZ45">
        <f>AE45</f>
        <v>25.42</v>
      </c>
      <c r="DA45">
        <f>AI45</f>
        <v>1</v>
      </c>
      <c r="DB45">
        <v>0</v>
      </c>
    </row>
    <row r="46" spans="1:106" ht="12.75">
      <c r="A46">
        <f>ROW(Source!A33)</f>
        <v>33</v>
      </c>
      <c r="B46">
        <v>26994759</v>
      </c>
      <c r="C46">
        <v>26994949</v>
      </c>
      <c r="D46">
        <v>9415152</v>
      </c>
      <c r="E46">
        <v>1</v>
      </c>
      <c r="F46">
        <v>1</v>
      </c>
      <c r="G46">
        <v>1</v>
      </c>
      <c r="H46">
        <v>1</v>
      </c>
      <c r="I46" t="s">
        <v>416</v>
      </c>
      <c r="K46" t="s">
        <v>417</v>
      </c>
      <c r="L46">
        <v>1369</v>
      </c>
      <c r="N46">
        <v>1013</v>
      </c>
      <c r="O46" t="s">
        <v>323</v>
      </c>
      <c r="P46" t="s">
        <v>323</v>
      </c>
      <c r="Q46">
        <v>1</v>
      </c>
      <c r="W46">
        <v>0</v>
      </c>
      <c r="X46">
        <v>1607597553</v>
      </c>
      <c r="Y46">
        <v>81.6</v>
      </c>
      <c r="AA46">
        <v>0</v>
      </c>
      <c r="AB46">
        <v>0</v>
      </c>
      <c r="AC46">
        <v>0</v>
      </c>
      <c r="AD46">
        <v>115.12</v>
      </c>
      <c r="AE46">
        <v>0</v>
      </c>
      <c r="AF46">
        <v>0</v>
      </c>
      <c r="AG46">
        <v>0</v>
      </c>
      <c r="AH46">
        <v>115.12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1</v>
      </c>
      <c r="AQ46">
        <v>1</v>
      </c>
      <c r="AR46">
        <v>0</v>
      </c>
      <c r="AT46">
        <v>81.6</v>
      </c>
      <c r="AV46">
        <v>1</v>
      </c>
      <c r="AW46">
        <v>2</v>
      </c>
      <c r="AX46">
        <v>26994955</v>
      </c>
      <c r="AY46">
        <v>2</v>
      </c>
      <c r="AZ46">
        <v>131072</v>
      </c>
      <c r="BA46">
        <v>66</v>
      </c>
      <c r="BB46">
        <v>1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9393.792</v>
      </c>
      <c r="BN46">
        <v>81.6</v>
      </c>
      <c r="BO46">
        <v>0</v>
      </c>
      <c r="BP46">
        <v>1</v>
      </c>
      <c r="BQ46">
        <v>0</v>
      </c>
      <c r="BR46">
        <v>0</v>
      </c>
      <c r="BS46">
        <v>0</v>
      </c>
      <c r="BT46">
        <v>9393.792</v>
      </c>
      <c r="BU46">
        <v>81.6</v>
      </c>
      <c r="BV46">
        <v>0</v>
      </c>
      <c r="BW46">
        <v>1</v>
      </c>
      <c r="CX46">
        <f>Y46*Source!I33</f>
        <v>60.2208</v>
      </c>
      <c r="CY46">
        <f>AD46</f>
        <v>115.12</v>
      </c>
      <c r="CZ46">
        <f>AH46</f>
        <v>115.12</v>
      </c>
      <c r="DA46">
        <f>AL46</f>
        <v>1</v>
      </c>
      <c r="DB46">
        <v>0</v>
      </c>
    </row>
    <row r="47" spans="1:106" ht="12.75">
      <c r="A47">
        <f>ROW(Source!A33)</f>
        <v>33</v>
      </c>
      <c r="B47">
        <v>26994759</v>
      </c>
      <c r="C47">
        <v>26994949</v>
      </c>
      <c r="D47">
        <v>24316761</v>
      </c>
      <c r="E47">
        <v>1</v>
      </c>
      <c r="F47">
        <v>1</v>
      </c>
      <c r="G47">
        <v>1</v>
      </c>
      <c r="H47">
        <v>2</v>
      </c>
      <c r="I47" t="s">
        <v>418</v>
      </c>
      <c r="J47" t="s">
        <v>419</v>
      </c>
      <c r="K47" t="s">
        <v>420</v>
      </c>
      <c r="L47">
        <v>1368</v>
      </c>
      <c r="N47">
        <v>1011</v>
      </c>
      <c r="O47" t="s">
        <v>327</v>
      </c>
      <c r="P47" t="s">
        <v>327</v>
      </c>
      <c r="Q47">
        <v>1</v>
      </c>
      <c r="W47">
        <v>0</v>
      </c>
      <c r="X47">
        <v>1793891640</v>
      </c>
      <c r="Y47">
        <v>0.1</v>
      </c>
      <c r="AA47">
        <v>0</v>
      </c>
      <c r="AB47">
        <v>5.76</v>
      </c>
      <c r="AC47">
        <v>0</v>
      </c>
      <c r="AD47">
        <v>0</v>
      </c>
      <c r="AE47">
        <v>0</v>
      </c>
      <c r="AF47">
        <v>5.76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1</v>
      </c>
      <c r="AR47">
        <v>0</v>
      </c>
      <c r="AT47">
        <v>0.1</v>
      </c>
      <c r="AV47">
        <v>0</v>
      </c>
      <c r="AW47">
        <v>2</v>
      </c>
      <c r="AX47">
        <v>26994956</v>
      </c>
      <c r="AY47">
        <v>2</v>
      </c>
      <c r="AZ47">
        <v>32768</v>
      </c>
      <c r="BA47">
        <v>67</v>
      </c>
      <c r="BB47">
        <v>1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0.576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0.576</v>
      </c>
      <c r="BS47">
        <v>0</v>
      </c>
      <c r="BT47">
        <v>0</v>
      </c>
      <c r="BU47">
        <v>0</v>
      </c>
      <c r="BV47">
        <v>0</v>
      </c>
      <c r="BW47">
        <v>1</v>
      </c>
      <c r="CX47">
        <f>Y47*Source!I33</f>
        <v>0.0738</v>
      </c>
      <c r="CY47">
        <f>AB47</f>
        <v>5.76</v>
      </c>
      <c r="CZ47">
        <f>AF47</f>
        <v>5.76</v>
      </c>
      <c r="DA47">
        <f>AJ47</f>
        <v>1</v>
      </c>
      <c r="DB47">
        <v>0</v>
      </c>
    </row>
    <row r="48" spans="1:106" ht="12.75">
      <c r="A48">
        <f>ROW(Source!A33)</f>
        <v>33</v>
      </c>
      <c r="B48">
        <v>26994759</v>
      </c>
      <c r="C48">
        <v>26994949</v>
      </c>
      <c r="D48">
        <v>24262102</v>
      </c>
      <c r="E48">
        <v>1</v>
      </c>
      <c r="F48">
        <v>1</v>
      </c>
      <c r="G48">
        <v>1</v>
      </c>
      <c r="H48">
        <v>2</v>
      </c>
      <c r="I48" t="s">
        <v>371</v>
      </c>
      <c r="J48" t="s">
        <v>372</v>
      </c>
      <c r="K48" t="s">
        <v>373</v>
      </c>
      <c r="L48">
        <v>1368</v>
      </c>
      <c r="N48">
        <v>1011</v>
      </c>
      <c r="O48" t="s">
        <v>327</v>
      </c>
      <c r="P48" t="s">
        <v>327</v>
      </c>
      <c r="Q48">
        <v>1</v>
      </c>
      <c r="W48">
        <v>0</v>
      </c>
      <c r="X48">
        <v>596191924</v>
      </c>
      <c r="Y48">
        <v>0.13</v>
      </c>
      <c r="AA48">
        <v>0</v>
      </c>
      <c r="AB48">
        <v>691.3</v>
      </c>
      <c r="AC48">
        <v>0</v>
      </c>
      <c r="AD48">
        <v>0</v>
      </c>
      <c r="AE48">
        <v>0</v>
      </c>
      <c r="AF48">
        <v>691.3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1</v>
      </c>
      <c r="AR48">
        <v>0</v>
      </c>
      <c r="AT48">
        <v>0.13</v>
      </c>
      <c r="AV48">
        <v>0</v>
      </c>
      <c r="AW48">
        <v>2</v>
      </c>
      <c r="AX48">
        <v>26994957</v>
      </c>
      <c r="AY48">
        <v>2</v>
      </c>
      <c r="AZ48">
        <v>98304</v>
      </c>
      <c r="BA48">
        <v>68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89.869</v>
      </c>
      <c r="BL48">
        <v>0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89.869</v>
      </c>
      <c r="BS48">
        <v>0</v>
      </c>
      <c r="BT48">
        <v>0</v>
      </c>
      <c r="BU48">
        <v>0</v>
      </c>
      <c r="BV48">
        <v>0</v>
      </c>
      <c r="BW48">
        <v>1</v>
      </c>
      <c r="CX48">
        <f>Y48*Source!I33</f>
        <v>0.09594</v>
      </c>
      <c r="CY48">
        <f>AB48</f>
        <v>691.3</v>
      </c>
      <c r="CZ48">
        <f>AF48</f>
        <v>691.3</v>
      </c>
      <c r="DA48">
        <f>AJ48</f>
        <v>1</v>
      </c>
      <c r="DB48">
        <v>0</v>
      </c>
    </row>
    <row r="49" spans="1:106" ht="12.75">
      <c r="A49">
        <f>ROW(Source!A33)</f>
        <v>33</v>
      </c>
      <c r="B49">
        <v>26994759</v>
      </c>
      <c r="C49">
        <v>26994949</v>
      </c>
      <c r="D49">
        <v>24305712</v>
      </c>
      <c r="E49">
        <v>1</v>
      </c>
      <c r="F49">
        <v>1</v>
      </c>
      <c r="G49">
        <v>1</v>
      </c>
      <c r="H49">
        <v>3</v>
      </c>
      <c r="I49" t="s">
        <v>421</v>
      </c>
      <c r="J49" t="s">
        <v>422</v>
      </c>
      <c r="K49" t="s">
        <v>423</v>
      </c>
      <c r="L49">
        <v>1327</v>
      </c>
      <c r="N49">
        <v>1005</v>
      </c>
      <c r="O49" t="s">
        <v>348</v>
      </c>
      <c r="P49" t="s">
        <v>348</v>
      </c>
      <c r="Q49">
        <v>1</v>
      </c>
      <c r="W49">
        <v>0</v>
      </c>
      <c r="X49">
        <v>1476079038</v>
      </c>
      <c r="Y49">
        <v>110</v>
      </c>
      <c r="AA49">
        <v>71.19</v>
      </c>
      <c r="AB49">
        <v>0</v>
      </c>
      <c r="AC49">
        <v>0</v>
      </c>
      <c r="AD49">
        <v>0</v>
      </c>
      <c r="AE49">
        <v>71.19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0</v>
      </c>
      <c r="AQ49">
        <v>1</v>
      </c>
      <c r="AR49">
        <v>0</v>
      </c>
      <c r="AT49">
        <v>110</v>
      </c>
      <c r="AV49">
        <v>0</v>
      </c>
      <c r="AW49">
        <v>2</v>
      </c>
      <c r="AX49">
        <v>26994958</v>
      </c>
      <c r="AY49">
        <v>2</v>
      </c>
      <c r="AZ49">
        <v>16384</v>
      </c>
      <c r="BA49">
        <v>69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7830.9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7830.9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1</v>
      </c>
      <c r="CX49">
        <f>Y49*Source!I33</f>
        <v>81.17999999999999</v>
      </c>
      <c r="CY49">
        <f>AA49</f>
        <v>71.19</v>
      </c>
      <c r="CZ49">
        <f>AE49</f>
        <v>71.19</v>
      </c>
      <c r="DA49">
        <f>AI49</f>
        <v>1</v>
      </c>
      <c r="DB49">
        <v>0</v>
      </c>
    </row>
    <row r="50" spans="1:106" ht="12.75">
      <c r="A50">
        <f>ROW(Source!A33)</f>
        <v>33</v>
      </c>
      <c r="B50">
        <v>26994759</v>
      </c>
      <c r="C50">
        <v>26994949</v>
      </c>
      <c r="D50">
        <v>24312272</v>
      </c>
      <c r="E50">
        <v>1</v>
      </c>
      <c r="F50">
        <v>1</v>
      </c>
      <c r="G50">
        <v>1</v>
      </c>
      <c r="H50">
        <v>3</v>
      </c>
      <c r="I50" t="s">
        <v>424</v>
      </c>
      <c r="J50" t="s">
        <v>425</v>
      </c>
      <c r="K50" t="s">
        <v>426</v>
      </c>
      <c r="L50">
        <v>1348</v>
      </c>
      <c r="N50">
        <v>1009</v>
      </c>
      <c r="O50" t="s">
        <v>203</v>
      </c>
      <c r="P50" t="s">
        <v>203</v>
      </c>
      <c r="Q50">
        <v>1000</v>
      </c>
      <c r="W50">
        <v>0</v>
      </c>
      <c r="X50">
        <v>-394883245</v>
      </c>
      <c r="Y50">
        <v>0.25</v>
      </c>
      <c r="AA50">
        <v>10362.67</v>
      </c>
      <c r="AB50">
        <v>0</v>
      </c>
      <c r="AC50">
        <v>0</v>
      </c>
      <c r="AD50">
        <v>0</v>
      </c>
      <c r="AE50">
        <v>10362.67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0</v>
      </c>
      <c r="AQ50">
        <v>1</v>
      </c>
      <c r="AR50">
        <v>0</v>
      </c>
      <c r="AT50">
        <v>0.25</v>
      </c>
      <c r="AV50">
        <v>0</v>
      </c>
      <c r="AW50">
        <v>2</v>
      </c>
      <c r="AX50">
        <v>26994959</v>
      </c>
      <c r="AY50">
        <v>2</v>
      </c>
      <c r="AZ50">
        <v>16384</v>
      </c>
      <c r="BA50">
        <v>70</v>
      </c>
      <c r="BB50">
        <v>1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2590.6675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1</v>
      </c>
      <c r="BQ50">
        <v>2590.6675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1</v>
      </c>
      <c r="CX50">
        <f>Y50*Source!I33</f>
        <v>0.1845</v>
      </c>
      <c r="CY50">
        <f>AA50</f>
        <v>10362.67</v>
      </c>
      <c r="CZ50">
        <f>AE50</f>
        <v>10362.67</v>
      </c>
      <c r="DA50">
        <f>AI50</f>
        <v>1</v>
      </c>
      <c r="DB50">
        <v>0</v>
      </c>
    </row>
    <row r="51" spans="1:106" ht="12.75">
      <c r="A51">
        <f>ROW(Source!A34)</f>
        <v>34</v>
      </c>
      <c r="B51">
        <v>26994759</v>
      </c>
      <c r="C51">
        <v>27030151</v>
      </c>
      <c r="D51">
        <v>9415735</v>
      </c>
      <c r="E51">
        <v>1</v>
      </c>
      <c r="F51">
        <v>1</v>
      </c>
      <c r="G51">
        <v>1</v>
      </c>
      <c r="H51">
        <v>1</v>
      </c>
      <c r="I51" t="s">
        <v>321</v>
      </c>
      <c r="K51" t="s">
        <v>322</v>
      </c>
      <c r="L51">
        <v>1369</v>
      </c>
      <c r="N51">
        <v>1013</v>
      </c>
      <c r="O51" t="s">
        <v>323</v>
      </c>
      <c r="P51" t="s">
        <v>323</v>
      </c>
      <c r="Q51">
        <v>1</v>
      </c>
      <c r="W51">
        <v>0</v>
      </c>
      <c r="X51">
        <v>-887838387</v>
      </c>
      <c r="Y51">
        <v>173.42</v>
      </c>
      <c r="AA51">
        <v>0</v>
      </c>
      <c r="AB51">
        <v>0</v>
      </c>
      <c r="AC51">
        <v>0</v>
      </c>
      <c r="AD51">
        <v>133.77</v>
      </c>
      <c r="AE51">
        <v>0</v>
      </c>
      <c r="AF51">
        <v>0</v>
      </c>
      <c r="AG51">
        <v>0</v>
      </c>
      <c r="AH51">
        <v>133.77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1</v>
      </c>
      <c r="AQ51">
        <v>1</v>
      </c>
      <c r="AR51">
        <v>0</v>
      </c>
      <c r="AT51">
        <v>75.4</v>
      </c>
      <c r="AU51" t="s">
        <v>48</v>
      </c>
      <c r="AV51">
        <v>1</v>
      </c>
      <c r="AW51">
        <v>2</v>
      </c>
      <c r="AX51">
        <v>27030160</v>
      </c>
      <c r="AY51">
        <v>2</v>
      </c>
      <c r="AZ51">
        <v>131072</v>
      </c>
      <c r="BA51">
        <v>72</v>
      </c>
      <c r="BB51">
        <v>1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10086.258000000002</v>
      </c>
      <c r="BN51">
        <v>75.4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23198.3934</v>
      </c>
      <c r="BU51">
        <v>173.42</v>
      </c>
      <c r="BV51">
        <v>0</v>
      </c>
      <c r="BW51">
        <v>1</v>
      </c>
      <c r="CX51">
        <f>Y51*Source!I34</f>
        <v>127.98395999999998</v>
      </c>
      <c r="CY51">
        <f>AD51</f>
        <v>133.77</v>
      </c>
      <c r="CZ51">
        <f>AH51</f>
        <v>133.77</v>
      </c>
      <c r="DA51">
        <f>AL51</f>
        <v>1</v>
      </c>
      <c r="DB51">
        <v>0</v>
      </c>
    </row>
    <row r="52" spans="1:106" ht="12.75">
      <c r="A52">
        <f>ROW(Source!A34)</f>
        <v>34</v>
      </c>
      <c r="B52">
        <v>26994759</v>
      </c>
      <c r="C52">
        <v>27030151</v>
      </c>
      <c r="D52">
        <v>121548</v>
      </c>
      <c r="E52">
        <v>1</v>
      </c>
      <c r="F52">
        <v>1</v>
      </c>
      <c r="G52">
        <v>1</v>
      </c>
      <c r="H52">
        <v>1</v>
      </c>
      <c r="I52" t="s">
        <v>26</v>
      </c>
      <c r="K52" t="s">
        <v>358</v>
      </c>
      <c r="L52">
        <v>608254</v>
      </c>
      <c r="N52">
        <v>1013</v>
      </c>
      <c r="O52" t="s">
        <v>359</v>
      </c>
      <c r="P52" t="s">
        <v>359</v>
      </c>
      <c r="Q52">
        <v>1</v>
      </c>
      <c r="W52">
        <v>0</v>
      </c>
      <c r="X52">
        <v>-185737400</v>
      </c>
      <c r="Y52">
        <v>15.175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1</v>
      </c>
      <c r="AQ52">
        <v>1</v>
      </c>
      <c r="AR52">
        <v>0</v>
      </c>
      <c r="AT52">
        <v>6.07</v>
      </c>
      <c r="AU52" t="s">
        <v>47</v>
      </c>
      <c r="AV52">
        <v>2</v>
      </c>
      <c r="AW52">
        <v>2</v>
      </c>
      <c r="AX52">
        <v>27030161</v>
      </c>
      <c r="AY52">
        <v>1</v>
      </c>
      <c r="AZ52">
        <v>0</v>
      </c>
      <c r="BA52">
        <v>73</v>
      </c>
      <c r="BB52">
        <v>1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6.07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15.175</v>
      </c>
      <c r="BW52">
        <v>1</v>
      </c>
      <c r="CX52">
        <f>Y52*Source!I34</f>
        <v>11.19915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ht="12.75">
      <c r="A53">
        <f>ROW(Source!A34)</f>
        <v>34</v>
      </c>
      <c r="B53">
        <v>26994759</v>
      </c>
      <c r="C53">
        <v>27030151</v>
      </c>
      <c r="D53">
        <v>24312004</v>
      </c>
      <c r="E53">
        <v>1</v>
      </c>
      <c r="F53">
        <v>1</v>
      </c>
      <c r="G53">
        <v>1</v>
      </c>
      <c r="H53">
        <v>2</v>
      </c>
      <c r="I53" t="s">
        <v>389</v>
      </c>
      <c r="J53" t="s">
        <v>390</v>
      </c>
      <c r="K53" t="s">
        <v>391</v>
      </c>
      <c r="L53">
        <v>1368</v>
      </c>
      <c r="N53">
        <v>1011</v>
      </c>
      <c r="O53" t="s">
        <v>327</v>
      </c>
      <c r="P53" t="s">
        <v>327</v>
      </c>
      <c r="Q53">
        <v>1</v>
      </c>
      <c r="W53">
        <v>0</v>
      </c>
      <c r="X53">
        <v>1499254570</v>
      </c>
      <c r="Y53">
        <v>1.55</v>
      </c>
      <c r="AA53">
        <v>0</v>
      </c>
      <c r="AB53">
        <v>246.77</v>
      </c>
      <c r="AC53">
        <v>0</v>
      </c>
      <c r="AD53">
        <v>0</v>
      </c>
      <c r="AE53">
        <v>0</v>
      </c>
      <c r="AF53">
        <v>246.77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1</v>
      </c>
      <c r="AQ53">
        <v>1</v>
      </c>
      <c r="AR53">
        <v>0</v>
      </c>
      <c r="AT53">
        <v>0.62</v>
      </c>
      <c r="AU53" t="s">
        <v>47</v>
      </c>
      <c r="AV53">
        <v>0</v>
      </c>
      <c r="AW53">
        <v>2</v>
      </c>
      <c r="AX53">
        <v>27030162</v>
      </c>
      <c r="AY53">
        <v>2</v>
      </c>
      <c r="AZ53">
        <v>98304</v>
      </c>
      <c r="BA53">
        <v>74</v>
      </c>
      <c r="BB53">
        <v>1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152.9974</v>
      </c>
      <c r="BL53">
        <v>0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382.49350000000004</v>
      </c>
      <c r="BS53">
        <v>0</v>
      </c>
      <c r="BT53">
        <v>0</v>
      </c>
      <c r="BU53">
        <v>0</v>
      </c>
      <c r="BV53">
        <v>0</v>
      </c>
      <c r="BW53">
        <v>1</v>
      </c>
      <c r="CX53">
        <f>Y53*Source!I34</f>
        <v>1.1439</v>
      </c>
      <c r="CY53">
        <f>AB53</f>
        <v>246.77</v>
      </c>
      <c r="CZ53">
        <f>AF53</f>
        <v>246.77</v>
      </c>
      <c r="DA53">
        <f>AJ53</f>
        <v>1</v>
      </c>
      <c r="DB53">
        <v>0</v>
      </c>
    </row>
    <row r="54" spans="1:106" ht="12.75">
      <c r="A54">
        <f>ROW(Source!A34)</f>
        <v>34</v>
      </c>
      <c r="B54">
        <v>26994759</v>
      </c>
      <c r="C54">
        <v>27030151</v>
      </c>
      <c r="D54">
        <v>24313996</v>
      </c>
      <c r="E54">
        <v>1</v>
      </c>
      <c r="F54">
        <v>1</v>
      </c>
      <c r="G54">
        <v>1</v>
      </c>
      <c r="H54">
        <v>2</v>
      </c>
      <c r="I54" t="s">
        <v>427</v>
      </c>
      <c r="J54" t="s">
        <v>428</v>
      </c>
      <c r="K54" t="s">
        <v>429</v>
      </c>
      <c r="L54">
        <v>1368</v>
      </c>
      <c r="N54">
        <v>1011</v>
      </c>
      <c r="O54" t="s">
        <v>327</v>
      </c>
      <c r="P54" t="s">
        <v>327</v>
      </c>
      <c r="Q54">
        <v>1</v>
      </c>
      <c r="W54">
        <v>0</v>
      </c>
      <c r="X54">
        <v>-220947159</v>
      </c>
      <c r="Y54">
        <v>13.625</v>
      </c>
      <c r="AA54">
        <v>0</v>
      </c>
      <c r="AB54">
        <v>146.8</v>
      </c>
      <c r="AC54">
        <v>0</v>
      </c>
      <c r="AD54">
        <v>0</v>
      </c>
      <c r="AE54">
        <v>0</v>
      </c>
      <c r="AF54">
        <v>146.8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1</v>
      </c>
      <c r="AQ54">
        <v>1</v>
      </c>
      <c r="AR54">
        <v>0</v>
      </c>
      <c r="AT54">
        <v>5.45</v>
      </c>
      <c r="AU54" t="s">
        <v>47</v>
      </c>
      <c r="AV54">
        <v>0</v>
      </c>
      <c r="AW54">
        <v>2</v>
      </c>
      <c r="AX54">
        <v>27030163</v>
      </c>
      <c r="AY54">
        <v>2</v>
      </c>
      <c r="AZ54">
        <v>98304</v>
      </c>
      <c r="BA54">
        <v>75</v>
      </c>
      <c r="BB54">
        <v>1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800.0600000000001</v>
      </c>
      <c r="BL54">
        <v>0</v>
      </c>
      <c r="BM54">
        <v>0</v>
      </c>
      <c r="BN54">
        <v>0</v>
      </c>
      <c r="BO54">
        <v>0</v>
      </c>
      <c r="BP54">
        <v>1</v>
      </c>
      <c r="BQ54">
        <v>0</v>
      </c>
      <c r="BR54">
        <v>2000.15</v>
      </c>
      <c r="BS54">
        <v>0</v>
      </c>
      <c r="BT54">
        <v>0</v>
      </c>
      <c r="BU54">
        <v>0</v>
      </c>
      <c r="BV54">
        <v>0</v>
      </c>
      <c r="BW54">
        <v>1</v>
      </c>
      <c r="CX54">
        <f>Y54*Source!I34</f>
        <v>10.05525</v>
      </c>
      <c r="CY54">
        <f>AB54</f>
        <v>146.8</v>
      </c>
      <c r="CZ54">
        <f>AF54</f>
        <v>146.8</v>
      </c>
      <c r="DA54">
        <f>AJ54</f>
        <v>1</v>
      </c>
      <c r="DB54">
        <v>0</v>
      </c>
    </row>
    <row r="55" spans="1:106" ht="12.75">
      <c r="A55">
        <f>ROW(Source!A34)</f>
        <v>34</v>
      </c>
      <c r="B55">
        <v>26994759</v>
      </c>
      <c r="C55">
        <v>27030151</v>
      </c>
      <c r="D55">
        <v>24315699</v>
      </c>
      <c r="E55">
        <v>1</v>
      </c>
      <c r="F55">
        <v>1</v>
      </c>
      <c r="G55">
        <v>1</v>
      </c>
      <c r="H55">
        <v>3</v>
      </c>
      <c r="I55" t="s">
        <v>430</v>
      </c>
      <c r="J55" t="s">
        <v>431</v>
      </c>
      <c r="K55" t="s">
        <v>432</v>
      </c>
      <c r="L55">
        <v>1348</v>
      </c>
      <c r="N55">
        <v>1009</v>
      </c>
      <c r="O55" t="s">
        <v>203</v>
      </c>
      <c r="P55" t="s">
        <v>203</v>
      </c>
      <c r="Q55">
        <v>1000</v>
      </c>
      <c r="W55">
        <v>0</v>
      </c>
      <c r="X55">
        <v>1901508595</v>
      </c>
      <c r="Y55">
        <v>0.00014</v>
      </c>
      <c r="AA55">
        <v>41060</v>
      </c>
      <c r="AB55">
        <v>0</v>
      </c>
      <c r="AC55">
        <v>0</v>
      </c>
      <c r="AD55">
        <v>0</v>
      </c>
      <c r="AE55">
        <v>41060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1</v>
      </c>
      <c r="AQ55">
        <v>1</v>
      </c>
      <c r="AR55">
        <v>0</v>
      </c>
      <c r="AT55">
        <v>7E-05</v>
      </c>
      <c r="AU55" t="s">
        <v>46</v>
      </c>
      <c r="AV55">
        <v>0</v>
      </c>
      <c r="AW55">
        <v>2</v>
      </c>
      <c r="AX55">
        <v>27030164</v>
      </c>
      <c r="AY55">
        <v>2</v>
      </c>
      <c r="AZ55">
        <v>16384</v>
      </c>
      <c r="BA55">
        <v>76</v>
      </c>
      <c r="BB55">
        <v>1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2.8741999999999996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1</v>
      </c>
      <c r="BQ55">
        <v>5.748399999999999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1</v>
      </c>
      <c r="CX55">
        <f>Y55*Source!I34</f>
        <v>0.00010332</v>
      </c>
      <c r="CY55">
        <f>AA55</f>
        <v>41060</v>
      </c>
      <c r="CZ55">
        <f>AE55</f>
        <v>41060</v>
      </c>
      <c r="DA55">
        <f>AI55</f>
        <v>1</v>
      </c>
      <c r="DB55">
        <v>0</v>
      </c>
    </row>
    <row r="56" spans="1:106" ht="12.75">
      <c r="A56">
        <f>ROW(Source!A34)</f>
        <v>34</v>
      </c>
      <c r="B56">
        <v>26994759</v>
      </c>
      <c r="C56">
        <v>27030151</v>
      </c>
      <c r="D56">
        <v>24305712</v>
      </c>
      <c r="E56">
        <v>1</v>
      </c>
      <c r="F56">
        <v>1</v>
      </c>
      <c r="G56">
        <v>1</v>
      </c>
      <c r="H56">
        <v>3</v>
      </c>
      <c r="I56" t="s">
        <v>421</v>
      </c>
      <c r="J56" t="s">
        <v>422</v>
      </c>
      <c r="K56" t="s">
        <v>423</v>
      </c>
      <c r="L56">
        <v>1327</v>
      </c>
      <c r="N56">
        <v>1005</v>
      </c>
      <c r="O56" t="s">
        <v>348</v>
      </c>
      <c r="P56" t="s">
        <v>348</v>
      </c>
      <c r="Q56">
        <v>1</v>
      </c>
      <c r="W56">
        <v>0</v>
      </c>
      <c r="X56">
        <v>1476079038</v>
      </c>
      <c r="Y56">
        <v>5.54</v>
      </c>
      <c r="AA56">
        <v>71.19</v>
      </c>
      <c r="AB56">
        <v>0</v>
      </c>
      <c r="AC56">
        <v>0</v>
      </c>
      <c r="AD56">
        <v>0</v>
      </c>
      <c r="AE56">
        <v>71.19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1</v>
      </c>
      <c r="AQ56">
        <v>1</v>
      </c>
      <c r="AR56">
        <v>0</v>
      </c>
      <c r="AT56">
        <v>2.77</v>
      </c>
      <c r="AU56" t="s">
        <v>46</v>
      </c>
      <c r="AV56">
        <v>0</v>
      </c>
      <c r="AW56">
        <v>2</v>
      </c>
      <c r="AX56">
        <v>27030165</v>
      </c>
      <c r="AY56">
        <v>2</v>
      </c>
      <c r="AZ56">
        <v>16384</v>
      </c>
      <c r="BA56">
        <v>77</v>
      </c>
      <c r="BB56">
        <v>1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197.1963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1</v>
      </c>
      <c r="BQ56">
        <v>394.3926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CX56">
        <f>Y56*Source!I34</f>
        <v>4.08852</v>
      </c>
      <c r="CY56">
        <f>AA56</f>
        <v>71.19</v>
      </c>
      <c r="CZ56">
        <f>AE56</f>
        <v>71.19</v>
      </c>
      <c r="DA56">
        <f>AI56</f>
        <v>1</v>
      </c>
      <c r="DB56">
        <v>0</v>
      </c>
    </row>
    <row r="57" spans="1:106" ht="12.75">
      <c r="A57">
        <f>ROW(Source!A34)</f>
        <v>34</v>
      </c>
      <c r="B57">
        <v>26994759</v>
      </c>
      <c r="C57">
        <v>27030151</v>
      </c>
      <c r="D57">
        <v>24308255</v>
      </c>
      <c r="E57">
        <v>1</v>
      </c>
      <c r="F57">
        <v>1</v>
      </c>
      <c r="G57">
        <v>1</v>
      </c>
      <c r="H57">
        <v>3</v>
      </c>
      <c r="I57" t="s">
        <v>433</v>
      </c>
      <c r="J57" t="s">
        <v>434</v>
      </c>
      <c r="K57" t="s">
        <v>435</v>
      </c>
      <c r="L57">
        <v>1339</v>
      </c>
      <c r="N57">
        <v>1007</v>
      </c>
      <c r="O57" t="s">
        <v>377</v>
      </c>
      <c r="P57" t="s">
        <v>377</v>
      </c>
      <c r="Q57">
        <v>1</v>
      </c>
      <c r="W57">
        <v>0</v>
      </c>
      <c r="X57">
        <v>-256423262</v>
      </c>
      <c r="Y57">
        <v>3.02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1</v>
      </c>
      <c r="AR57">
        <v>0</v>
      </c>
      <c r="AT57">
        <v>1.51</v>
      </c>
      <c r="AU57" t="s">
        <v>46</v>
      </c>
      <c r="AV57">
        <v>0</v>
      </c>
      <c r="AW57">
        <v>2</v>
      </c>
      <c r="AX57">
        <v>27030166</v>
      </c>
      <c r="AY57">
        <v>2</v>
      </c>
      <c r="AZ57">
        <v>16384</v>
      </c>
      <c r="BA57">
        <v>78</v>
      </c>
      <c r="BB57">
        <v>1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Y57*Source!I34</f>
        <v>2.22876</v>
      </c>
      <c r="CY57">
        <f>AA57</f>
        <v>0</v>
      </c>
      <c r="CZ57">
        <f>AE57</f>
        <v>0</v>
      </c>
      <c r="DA57">
        <f>AI57</f>
        <v>1</v>
      </c>
      <c r="DB57">
        <v>0</v>
      </c>
    </row>
    <row r="58" spans="1:106" ht="12.75">
      <c r="A58">
        <f>ROW(Source!A34)</f>
        <v>34</v>
      </c>
      <c r="B58">
        <v>26994759</v>
      </c>
      <c r="C58">
        <v>27030151</v>
      </c>
      <c r="D58">
        <v>24312272</v>
      </c>
      <c r="E58">
        <v>1</v>
      </c>
      <c r="F58">
        <v>1</v>
      </c>
      <c r="G58">
        <v>1</v>
      </c>
      <c r="H58">
        <v>3</v>
      </c>
      <c r="I58" t="s">
        <v>424</v>
      </c>
      <c r="J58" t="s">
        <v>425</v>
      </c>
      <c r="K58" t="s">
        <v>426</v>
      </c>
      <c r="L58">
        <v>1348</v>
      </c>
      <c r="N58">
        <v>1009</v>
      </c>
      <c r="O58" t="s">
        <v>203</v>
      </c>
      <c r="P58" t="s">
        <v>203</v>
      </c>
      <c r="Q58">
        <v>1000</v>
      </c>
      <c r="W58">
        <v>0</v>
      </c>
      <c r="X58">
        <v>-394883245</v>
      </c>
      <c r="Y58">
        <v>0.012</v>
      </c>
      <c r="AA58">
        <v>10169.49</v>
      </c>
      <c r="AB58">
        <v>0</v>
      </c>
      <c r="AC58">
        <v>0</v>
      </c>
      <c r="AD58">
        <v>0</v>
      </c>
      <c r="AE58">
        <v>10169.49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1</v>
      </c>
      <c r="AR58">
        <v>0</v>
      </c>
      <c r="AT58">
        <v>0.006</v>
      </c>
      <c r="AU58" t="s">
        <v>46</v>
      </c>
      <c r="AV58">
        <v>0</v>
      </c>
      <c r="AW58">
        <v>2</v>
      </c>
      <c r="AX58">
        <v>27030167</v>
      </c>
      <c r="AY58">
        <v>2</v>
      </c>
      <c r="AZ58">
        <v>16384</v>
      </c>
      <c r="BA58">
        <v>79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61.01694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1</v>
      </c>
      <c r="BQ58">
        <v>122.03388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1</v>
      </c>
      <c r="CX58">
        <f>Y58*Source!I34</f>
        <v>0.008856</v>
      </c>
      <c r="CY58">
        <f>AA58</f>
        <v>10169.49</v>
      </c>
      <c r="CZ58">
        <f>AE58</f>
        <v>10169.49</v>
      </c>
      <c r="DA58">
        <f>AI58</f>
        <v>1</v>
      </c>
      <c r="DB58">
        <v>0</v>
      </c>
    </row>
    <row r="59" spans="1:106" ht="12.75">
      <c r="A59">
        <f>ROW(Source!A35)</f>
        <v>35</v>
      </c>
      <c r="B59">
        <v>26994759</v>
      </c>
      <c r="C59">
        <v>26994973</v>
      </c>
      <c r="D59">
        <v>9415152</v>
      </c>
      <c r="E59">
        <v>1</v>
      </c>
      <c r="F59">
        <v>1</v>
      </c>
      <c r="G59">
        <v>1</v>
      </c>
      <c r="H59">
        <v>1</v>
      </c>
      <c r="I59" t="s">
        <v>416</v>
      </c>
      <c r="K59" t="s">
        <v>417</v>
      </c>
      <c r="L59">
        <v>1369</v>
      </c>
      <c r="N59">
        <v>1013</v>
      </c>
      <c r="O59" t="s">
        <v>323</v>
      </c>
      <c r="P59" t="s">
        <v>323</v>
      </c>
      <c r="Q59">
        <v>1</v>
      </c>
      <c r="W59">
        <v>0</v>
      </c>
      <c r="X59">
        <v>1607597553</v>
      </c>
      <c r="Y59">
        <v>273.6</v>
      </c>
      <c r="AA59">
        <v>0</v>
      </c>
      <c r="AB59">
        <v>0</v>
      </c>
      <c r="AC59">
        <v>0</v>
      </c>
      <c r="AD59">
        <v>115.12</v>
      </c>
      <c r="AE59">
        <v>0</v>
      </c>
      <c r="AF59">
        <v>0</v>
      </c>
      <c r="AG59">
        <v>0</v>
      </c>
      <c r="AH59">
        <v>115.12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0</v>
      </c>
      <c r="AP59">
        <v>1</v>
      </c>
      <c r="AQ59">
        <v>1</v>
      </c>
      <c r="AR59">
        <v>0</v>
      </c>
      <c r="AT59">
        <v>273.6</v>
      </c>
      <c r="AV59">
        <v>1</v>
      </c>
      <c r="AW59">
        <v>2</v>
      </c>
      <c r="AX59">
        <v>26994979</v>
      </c>
      <c r="AY59">
        <v>2</v>
      </c>
      <c r="AZ59">
        <v>131072</v>
      </c>
      <c r="BA59">
        <v>80</v>
      </c>
      <c r="BB59">
        <v>1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31496.832000000002</v>
      </c>
      <c r="BN59">
        <v>273.6</v>
      </c>
      <c r="BO59">
        <v>0</v>
      </c>
      <c r="BP59">
        <v>1</v>
      </c>
      <c r="BQ59">
        <v>0</v>
      </c>
      <c r="BR59">
        <v>0</v>
      </c>
      <c r="BS59">
        <v>0</v>
      </c>
      <c r="BT59">
        <v>31496.832000000002</v>
      </c>
      <c r="BU59">
        <v>273.6</v>
      </c>
      <c r="BV59">
        <v>0</v>
      </c>
      <c r="BW59">
        <v>1</v>
      </c>
      <c r="CX59">
        <f>Y59*Source!I35</f>
        <v>6.101280000000001</v>
      </c>
      <c r="CY59">
        <f>AD59</f>
        <v>115.12</v>
      </c>
      <c r="CZ59">
        <f>AH59</f>
        <v>115.12</v>
      </c>
      <c r="DA59">
        <f>AL59</f>
        <v>1</v>
      </c>
      <c r="DB59">
        <v>0</v>
      </c>
    </row>
    <row r="60" spans="1:106" ht="12.75">
      <c r="A60">
        <f>ROW(Source!A35)</f>
        <v>35</v>
      </c>
      <c r="B60">
        <v>26994759</v>
      </c>
      <c r="C60">
        <v>26994973</v>
      </c>
      <c r="D60">
        <v>121548</v>
      </c>
      <c r="E60">
        <v>1</v>
      </c>
      <c r="F60">
        <v>1</v>
      </c>
      <c r="G60">
        <v>1</v>
      </c>
      <c r="H60">
        <v>1</v>
      </c>
      <c r="I60" t="s">
        <v>26</v>
      </c>
      <c r="K60" t="s">
        <v>358</v>
      </c>
      <c r="L60">
        <v>608254</v>
      </c>
      <c r="N60">
        <v>1013</v>
      </c>
      <c r="O60" t="s">
        <v>359</v>
      </c>
      <c r="P60" t="s">
        <v>359</v>
      </c>
      <c r="Q60">
        <v>1</v>
      </c>
      <c r="W60">
        <v>0</v>
      </c>
      <c r="X60">
        <v>-185737400</v>
      </c>
      <c r="Y60">
        <v>50.78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1</v>
      </c>
      <c r="AQ60">
        <v>1</v>
      </c>
      <c r="AR60">
        <v>0</v>
      </c>
      <c r="AT60">
        <v>50.78</v>
      </c>
      <c r="AV60">
        <v>2</v>
      </c>
      <c r="AW60">
        <v>2</v>
      </c>
      <c r="AX60">
        <v>26994980</v>
      </c>
      <c r="AY60">
        <v>1</v>
      </c>
      <c r="AZ60">
        <v>0</v>
      </c>
      <c r="BA60">
        <v>81</v>
      </c>
      <c r="BB60">
        <v>1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50.78</v>
      </c>
      <c r="BP60">
        <v>1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50.78</v>
      </c>
      <c r="BW60">
        <v>1</v>
      </c>
      <c r="CX60">
        <f>Y60*Source!I35</f>
        <v>1.1323940000000001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ht="12.75">
      <c r="A61">
        <f>ROW(Source!A35)</f>
        <v>35</v>
      </c>
      <c r="B61">
        <v>26994759</v>
      </c>
      <c r="C61">
        <v>26994973</v>
      </c>
      <c r="D61">
        <v>21284566</v>
      </c>
      <c r="E61">
        <v>1</v>
      </c>
      <c r="F61">
        <v>1</v>
      </c>
      <c r="G61">
        <v>1</v>
      </c>
      <c r="H61">
        <v>2</v>
      </c>
      <c r="I61" t="s">
        <v>436</v>
      </c>
      <c r="J61" t="s">
        <v>437</v>
      </c>
      <c r="K61" t="s">
        <v>438</v>
      </c>
      <c r="L61">
        <v>1368</v>
      </c>
      <c r="N61">
        <v>1011</v>
      </c>
      <c r="O61" t="s">
        <v>327</v>
      </c>
      <c r="P61" t="s">
        <v>327</v>
      </c>
      <c r="Q61">
        <v>1</v>
      </c>
      <c r="W61">
        <v>0</v>
      </c>
      <c r="X61">
        <v>663299220</v>
      </c>
      <c r="Y61">
        <v>14.82</v>
      </c>
      <c r="AA61">
        <v>0</v>
      </c>
      <c r="AB61">
        <v>490.2</v>
      </c>
      <c r="AC61">
        <v>0</v>
      </c>
      <c r="AD61">
        <v>0</v>
      </c>
      <c r="AE61">
        <v>0</v>
      </c>
      <c r="AF61">
        <v>490.2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1</v>
      </c>
      <c r="AQ61">
        <v>1</v>
      </c>
      <c r="AR61">
        <v>0</v>
      </c>
      <c r="AT61">
        <v>14.82</v>
      </c>
      <c r="AV61">
        <v>0</v>
      </c>
      <c r="AW61">
        <v>2</v>
      </c>
      <c r="AX61">
        <v>26994981</v>
      </c>
      <c r="AY61">
        <v>2</v>
      </c>
      <c r="AZ61">
        <v>98304</v>
      </c>
      <c r="BA61">
        <v>82</v>
      </c>
      <c r="BB61">
        <v>1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7264.764</v>
      </c>
      <c r="BL61">
        <v>0</v>
      </c>
      <c r="BM61">
        <v>0</v>
      </c>
      <c r="BN61">
        <v>0</v>
      </c>
      <c r="BO61">
        <v>0</v>
      </c>
      <c r="BP61">
        <v>1</v>
      </c>
      <c r="BQ61">
        <v>0</v>
      </c>
      <c r="BR61">
        <v>7264.764</v>
      </c>
      <c r="BS61">
        <v>0</v>
      </c>
      <c r="BT61">
        <v>0</v>
      </c>
      <c r="BU61">
        <v>0</v>
      </c>
      <c r="BV61">
        <v>0</v>
      </c>
      <c r="BW61">
        <v>1</v>
      </c>
      <c r="CX61">
        <f>Y61*Source!I35</f>
        <v>0.330486</v>
      </c>
      <c r="CY61">
        <f>AB61</f>
        <v>490.2</v>
      </c>
      <c r="CZ61">
        <f>AF61</f>
        <v>490.2</v>
      </c>
      <c r="DA61">
        <f>AJ61</f>
        <v>1</v>
      </c>
      <c r="DB61">
        <v>0</v>
      </c>
    </row>
    <row r="62" spans="1:106" ht="12.75">
      <c r="A62">
        <f>ROW(Source!A35)</f>
        <v>35</v>
      </c>
      <c r="B62">
        <v>26994759</v>
      </c>
      <c r="C62">
        <v>26994973</v>
      </c>
      <c r="D62">
        <v>21321317</v>
      </c>
      <c r="E62">
        <v>1</v>
      </c>
      <c r="F62">
        <v>1</v>
      </c>
      <c r="G62">
        <v>1</v>
      </c>
      <c r="H62">
        <v>2</v>
      </c>
      <c r="I62" t="s">
        <v>439</v>
      </c>
      <c r="J62" t="s">
        <v>440</v>
      </c>
      <c r="K62" t="s">
        <v>441</v>
      </c>
      <c r="L62">
        <v>1368</v>
      </c>
      <c r="N62">
        <v>1011</v>
      </c>
      <c r="O62" t="s">
        <v>327</v>
      </c>
      <c r="P62" t="s">
        <v>327</v>
      </c>
      <c r="Q62">
        <v>1</v>
      </c>
      <c r="W62">
        <v>0</v>
      </c>
      <c r="X62">
        <v>1857288079</v>
      </c>
      <c r="Y62">
        <v>35.96</v>
      </c>
      <c r="AA62">
        <v>0</v>
      </c>
      <c r="AB62">
        <v>157.72</v>
      </c>
      <c r="AC62">
        <v>0</v>
      </c>
      <c r="AD62">
        <v>0</v>
      </c>
      <c r="AE62">
        <v>0</v>
      </c>
      <c r="AF62">
        <v>157.72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1</v>
      </c>
      <c r="AQ62">
        <v>1</v>
      </c>
      <c r="AR62">
        <v>0</v>
      </c>
      <c r="AT62">
        <v>35.96</v>
      </c>
      <c r="AV62">
        <v>0</v>
      </c>
      <c r="AW62">
        <v>2</v>
      </c>
      <c r="AX62">
        <v>26994982</v>
      </c>
      <c r="AY62">
        <v>2</v>
      </c>
      <c r="AZ62">
        <v>98304</v>
      </c>
      <c r="BA62">
        <v>83</v>
      </c>
      <c r="BB62">
        <v>1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5671.6112</v>
      </c>
      <c r="BL62">
        <v>0</v>
      </c>
      <c r="BM62">
        <v>0</v>
      </c>
      <c r="BN62">
        <v>0</v>
      </c>
      <c r="BO62">
        <v>0</v>
      </c>
      <c r="BP62">
        <v>1</v>
      </c>
      <c r="BQ62">
        <v>0</v>
      </c>
      <c r="BR62">
        <v>5671.6112</v>
      </c>
      <c r="BS62">
        <v>0</v>
      </c>
      <c r="BT62">
        <v>0</v>
      </c>
      <c r="BU62">
        <v>0</v>
      </c>
      <c r="BV62">
        <v>0</v>
      </c>
      <c r="BW62">
        <v>1</v>
      </c>
      <c r="CX62">
        <f>Y62*Source!I35</f>
        <v>0.8019080000000001</v>
      </c>
      <c r="CY62">
        <f>AB62</f>
        <v>157.72</v>
      </c>
      <c r="CZ62">
        <f>AF62</f>
        <v>157.72</v>
      </c>
      <c r="DA62">
        <f>AJ62</f>
        <v>1</v>
      </c>
      <c r="DB62">
        <v>0</v>
      </c>
    </row>
    <row r="63" spans="1:106" ht="12.75">
      <c r="A63">
        <f>ROW(Source!A35)</f>
        <v>35</v>
      </c>
      <c r="B63">
        <v>26994759</v>
      </c>
      <c r="C63">
        <v>26994973</v>
      </c>
      <c r="D63">
        <v>0</v>
      </c>
      <c r="E63">
        <v>0</v>
      </c>
      <c r="F63">
        <v>1</v>
      </c>
      <c r="G63">
        <v>1</v>
      </c>
      <c r="H63">
        <v>3</v>
      </c>
      <c r="K63" t="s">
        <v>442</v>
      </c>
      <c r="L63">
        <v>1348</v>
      </c>
      <c r="N63">
        <v>1009</v>
      </c>
      <c r="O63" t="s">
        <v>203</v>
      </c>
      <c r="P63" t="s">
        <v>203</v>
      </c>
      <c r="Q63">
        <v>1000</v>
      </c>
      <c r="W63">
        <v>0</v>
      </c>
      <c r="X63">
        <v>-2017564548</v>
      </c>
      <c r="Y63">
        <v>65.6</v>
      </c>
      <c r="AA63">
        <v>7118.64</v>
      </c>
      <c r="AB63">
        <v>0</v>
      </c>
      <c r="AC63">
        <v>0</v>
      </c>
      <c r="AD63">
        <v>0</v>
      </c>
      <c r="AE63">
        <v>7118.64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1</v>
      </c>
      <c r="AQ63">
        <v>1</v>
      </c>
      <c r="AR63">
        <v>0</v>
      </c>
      <c r="AT63">
        <v>65.6</v>
      </c>
      <c r="AV63">
        <v>0</v>
      </c>
      <c r="AW63">
        <v>1</v>
      </c>
      <c r="AX63">
        <v>-1</v>
      </c>
      <c r="AY63">
        <v>0</v>
      </c>
      <c r="AZ63">
        <v>0</v>
      </c>
      <c r="BB63">
        <v>1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466982.784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1</v>
      </c>
      <c r="BQ63">
        <v>466982.784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1</v>
      </c>
      <c r="CX63">
        <f>Y63*Source!I35</f>
        <v>1.46288</v>
      </c>
      <c r="CY63">
        <f>AA63</f>
        <v>7118.64</v>
      </c>
      <c r="CZ63">
        <f>AE63</f>
        <v>7118.64</v>
      </c>
      <c r="DA63">
        <f>AI63</f>
        <v>1</v>
      </c>
      <c r="DB63">
        <v>0</v>
      </c>
    </row>
    <row r="64" spans="1:106" ht="12.75">
      <c r="A64">
        <f>ROW(Source!A36)</f>
        <v>36</v>
      </c>
      <c r="B64">
        <v>26994759</v>
      </c>
      <c r="C64">
        <v>26994987</v>
      </c>
      <c r="D64">
        <v>9416110</v>
      </c>
      <c r="E64">
        <v>1</v>
      </c>
      <c r="F64">
        <v>1</v>
      </c>
      <c r="G64">
        <v>1</v>
      </c>
      <c r="H64">
        <v>1</v>
      </c>
      <c r="I64" t="s">
        <v>443</v>
      </c>
      <c r="K64" t="s">
        <v>444</v>
      </c>
      <c r="L64">
        <v>1369</v>
      </c>
      <c r="N64">
        <v>1013</v>
      </c>
      <c r="O64" t="s">
        <v>323</v>
      </c>
      <c r="P64" t="s">
        <v>323</v>
      </c>
      <c r="Q64">
        <v>1</v>
      </c>
      <c r="W64">
        <v>0</v>
      </c>
      <c r="X64">
        <v>2103360120</v>
      </c>
      <c r="Y64">
        <v>183.62049999999996</v>
      </c>
      <c r="AA64">
        <v>0</v>
      </c>
      <c r="AB64">
        <v>0</v>
      </c>
      <c r="AC64">
        <v>0</v>
      </c>
      <c r="AD64">
        <v>135.36</v>
      </c>
      <c r="AE64">
        <v>0</v>
      </c>
      <c r="AF64">
        <v>0</v>
      </c>
      <c r="AG64">
        <v>0</v>
      </c>
      <c r="AH64">
        <v>135.36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1</v>
      </c>
      <c r="AQ64">
        <v>1</v>
      </c>
      <c r="AR64">
        <v>0</v>
      </c>
      <c r="AT64">
        <v>159.67</v>
      </c>
      <c r="AU64" t="s">
        <v>18</v>
      </c>
      <c r="AV64">
        <v>1</v>
      </c>
      <c r="AW64">
        <v>2</v>
      </c>
      <c r="AX64">
        <v>26994997</v>
      </c>
      <c r="AY64">
        <v>2</v>
      </c>
      <c r="AZ64">
        <v>131072</v>
      </c>
      <c r="BA64">
        <v>88</v>
      </c>
      <c r="BB64">
        <v>1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21612.9312</v>
      </c>
      <c r="BN64">
        <v>159.67</v>
      </c>
      <c r="BO64">
        <v>0</v>
      </c>
      <c r="BP64">
        <v>1</v>
      </c>
      <c r="BQ64">
        <v>0</v>
      </c>
      <c r="BR64">
        <v>0</v>
      </c>
      <c r="BS64">
        <v>0</v>
      </c>
      <c r="BT64">
        <v>24854.87088</v>
      </c>
      <c r="BU64">
        <v>183.62049999999996</v>
      </c>
      <c r="BV64">
        <v>0</v>
      </c>
      <c r="BW64">
        <v>1</v>
      </c>
      <c r="CX64">
        <f>Y64*Source!I36</f>
        <v>135.51192899999998</v>
      </c>
      <c r="CY64">
        <f>AD64</f>
        <v>135.36</v>
      </c>
      <c r="CZ64">
        <f>AH64</f>
        <v>135.36</v>
      </c>
      <c r="DA64">
        <f>AL64</f>
        <v>1</v>
      </c>
      <c r="DB64">
        <v>0</v>
      </c>
    </row>
    <row r="65" spans="1:106" ht="12.75">
      <c r="A65">
        <f>ROW(Source!A36)</f>
        <v>36</v>
      </c>
      <c r="B65">
        <v>26994759</v>
      </c>
      <c r="C65">
        <v>26994987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26</v>
      </c>
      <c r="K65" t="s">
        <v>358</v>
      </c>
      <c r="L65">
        <v>608254</v>
      </c>
      <c r="N65">
        <v>1013</v>
      </c>
      <c r="O65" t="s">
        <v>359</v>
      </c>
      <c r="P65" t="s">
        <v>359</v>
      </c>
      <c r="Q65">
        <v>1</v>
      </c>
      <c r="W65">
        <v>0</v>
      </c>
      <c r="X65">
        <v>-185737400</v>
      </c>
      <c r="Y65">
        <v>2.0625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1</v>
      </c>
      <c r="AR65">
        <v>0</v>
      </c>
      <c r="AT65">
        <v>1.65</v>
      </c>
      <c r="AU65" t="s">
        <v>17</v>
      </c>
      <c r="AV65">
        <v>2</v>
      </c>
      <c r="AW65">
        <v>2</v>
      </c>
      <c r="AX65">
        <v>26994998</v>
      </c>
      <c r="AY65">
        <v>1</v>
      </c>
      <c r="AZ65">
        <v>0</v>
      </c>
      <c r="BA65">
        <v>89</v>
      </c>
      <c r="BB65">
        <v>1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1.65</v>
      </c>
      <c r="BP65">
        <v>1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2.0625</v>
      </c>
      <c r="BW65">
        <v>1</v>
      </c>
      <c r="CX65">
        <f>Y65*Source!I36</f>
        <v>1.522125</v>
      </c>
      <c r="CY65">
        <f>AD65</f>
        <v>0</v>
      </c>
      <c r="CZ65">
        <f>AH65</f>
        <v>0</v>
      </c>
      <c r="DA65">
        <f>AL65</f>
        <v>1</v>
      </c>
      <c r="DB65">
        <v>0</v>
      </c>
    </row>
    <row r="66" spans="1:106" ht="12.75">
      <c r="A66">
        <f>ROW(Source!A36)</f>
        <v>36</v>
      </c>
      <c r="B66">
        <v>26994759</v>
      </c>
      <c r="C66">
        <v>26994987</v>
      </c>
      <c r="D66">
        <v>24265924</v>
      </c>
      <c r="E66">
        <v>1</v>
      </c>
      <c r="F66">
        <v>1</v>
      </c>
      <c r="G66">
        <v>1</v>
      </c>
      <c r="H66">
        <v>2</v>
      </c>
      <c r="I66" t="s">
        <v>436</v>
      </c>
      <c r="J66" t="s">
        <v>445</v>
      </c>
      <c r="K66" t="s">
        <v>438</v>
      </c>
      <c r="L66">
        <v>1368</v>
      </c>
      <c r="N66">
        <v>1011</v>
      </c>
      <c r="O66" t="s">
        <v>327</v>
      </c>
      <c r="P66" t="s">
        <v>327</v>
      </c>
      <c r="Q66">
        <v>1</v>
      </c>
      <c r="W66">
        <v>0</v>
      </c>
      <c r="X66">
        <v>2138795948</v>
      </c>
      <c r="Y66">
        <v>0.1</v>
      </c>
      <c r="AA66">
        <v>0</v>
      </c>
      <c r="AB66">
        <v>490.2</v>
      </c>
      <c r="AC66">
        <v>0</v>
      </c>
      <c r="AD66">
        <v>0</v>
      </c>
      <c r="AE66">
        <v>0</v>
      </c>
      <c r="AF66">
        <v>490.2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1</v>
      </c>
      <c r="AR66">
        <v>0</v>
      </c>
      <c r="AT66">
        <v>0.08</v>
      </c>
      <c r="AU66" t="s">
        <v>17</v>
      </c>
      <c r="AV66">
        <v>0</v>
      </c>
      <c r="AW66">
        <v>2</v>
      </c>
      <c r="AX66">
        <v>26994999</v>
      </c>
      <c r="AY66">
        <v>2</v>
      </c>
      <c r="AZ66">
        <v>32768</v>
      </c>
      <c r="BA66">
        <v>90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39.216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0</v>
      </c>
      <c r="BR66">
        <v>49.02</v>
      </c>
      <c r="BS66">
        <v>0</v>
      </c>
      <c r="BT66">
        <v>0</v>
      </c>
      <c r="BU66">
        <v>0</v>
      </c>
      <c r="BV66">
        <v>0</v>
      </c>
      <c r="BW66">
        <v>1</v>
      </c>
      <c r="CX66">
        <f>Y66*Source!I36</f>
        <v>0.0738</v>
      </c>
      <c r="CY66">
        <f>AB66</f>
        <v>490.2</v>
      </c>
      <c r="CZ66">
        <f>AF66</f>
        <v>490.2</v>
      </c>
      <c r="DA66">
        <f>AJ66</f>
        <v>1</v>
      </c>
      <c r="DB66">
        <v>0</v>
      </c>
    </row>
    <row r="67" spans="1:106" ht="12.75">
      <c r="A67">
        <f>ROW(Source!A36)</f>
        <v>36</v>
      </c>
      <c r="B67">
        <v>26994759</v>
      </c>
      <c r="C67">
        <v>26994987</v>
      </c>
      <c r="D67">
        <v>24312004</v>
      </c>
      <c r="E67">
        <v>1</v>
      </c>
      <c r="F67">
        <v>1</v>
      </c>
      <c r="G67">
        <v>1</v>
      </c>
      <c r="H67">
        <v>2</v>
      </c>
      <c r="I67" t="s">
        <v>389</v>
      </c>
      <c r="J67" t="s">
        <v>390</v>
      </c>
      <c r="K67" t="s">
        <v>391</v>
      </c>
      <c r="L67">
        <v>1368</v>
      </c>
      <c r="N67">
        <v>1011</v>
      </c>
      <c r="O67" t="s">
        <v>327</v>
      </c>
      <c r="P67" t="s">
        <v>327</v>
      </c>
      <c r="Q67">
        <v>1</v>
      </c>
      <c r="W67">
        <v>0</v>
      </c>
      <c r="X67">
        <v>1499254570</v>
      </c>
      <c r="Y67">
        <v>0.3375</v>
      </c>
      <c r="AA67">
        <v>0</v>
      </c>
      <c r="AB67">
        <v>246.77</v>
      </c>
      <c r="AC67">
        <v>0</v>
      </c>
      <c r="AD67">
        <v>0</v>
      </c>
      <c r="AE67">
        <v>0</v>
      </c>
      <c r="AF67">
        <v>246.77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1</v>
      </c>
      <c r="AQ67">
        <v>1</v>
      </c>
      <c r="AR67">
        <v>0</v>
      </c>
      <c r="AT67">
        <v>0.27</v>
      </c>
      <c r="AU67" t="s">
        <v>17</v>
      </c>
      <c r="AV67">
        <v>0</v>
      </c>
      <c r="AW67">
        <v>2</v>
      </c>
      <c r="AX67">
        <v>26995000</v>
      </c>
      <c r="AY67">
        <v>2</v>
      </c>
      <c r="AZ67">
        <v>32768</v>
      </c>
      <c r="BA67">
        <v>91</v>
      </c>
      <c r="BB67">
        <v>1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66.62790000000001</v>
      </c>
      <c r="BL67">
        <v>0</v>
      </c>
      <c r="BM67">
        <v>0</v>
      </c>
      <c r="BN67">
        <v>0</v>
      </c>
      <c r="BO67">
        <v>0</v>
      </c>
      <c r="BP67">
        <v>1</v>
      </c>
      <c r="BQ67">
        <v>0</v>
      </c>
      <c r="BR67">
        <v>83.28487500000001</v>
      </c>
      <c r="BS67">
        <v>0</v>
      </c>
      <c r="BT67">
        <v>0</v>
      </c>
      <c r="BU67">
        <v>0</v>
      </c>
      <c r="BV67">
        <v>0</v>
      </c>
      <c r="BW67">
        <v>1</v>
      </c>
      <c r="CX67">
        <f>Y67*Source!I36</f>
        <v>0.24907500000000002</v>
      </c>
      <c r="CY67">
        <f>AB67</f>
        <v>246.77</v>
      </c>
      <c r="CZ67">
        <f>AF67</f>
        <v>246.77</v>
      </c>
      <c r="DA67">
        <f>AJ67</f>
        <v>1</v>
      </c>
      <c r="DB67">
        <v>0</v>
      </c>
    </row>
    <row r="68" spans="1:106" ht="12.75">
      <c r="A68">
        <f>ROW(Source!A36)</f>
        <v>36</v>
      </c>
      <c r="B68">
        <v>26994759</v>
      </c>
      <c r="C68">
        <v>26994987</v>
      </c>
      <c r="D68">
        <v>24313971</v>
      </c>
      <c r="E68">
        <v>1</v>
      </c>
      <c r="F68">
        <v>1</v>
      </c>
      <c r="G68">
        <v>1</v>
      </c>
      <c r="H68">
        <v>2</v>
      </c>
      <c r="I68" t="s">
        <v>446</v>
      </c>
      <c r="J68" t="s">
        <v>447</v>
      </c>
      <c r="K68" t="s">
        <v>448</v>
      </c>
      <c r="L68">
        <v>1368</v>
      </c>
      <c r="N68">
        <v>1011</v>
      </c>
      <c r="O68" t="s">
        <v>327</v>
      </c>
      <c r="P68" t="s">
        <v>327</v>
      </c>
      <c r="Q68">
        <v>1</v>
      </c>
      <c r="W68">
        <v>0</v>
      </c>
      <c r="X68">
        <v>-1768163559</v>
      </c>
      <c r="Y68">
        <v>1.625</v>
      </c>
      <c r="AA68">
        <v>0</v>
      </c>
      <c r="AB68">
        <v>143.88</v>
      </c>
      <c r="AC68">
        <v>0</v>
      </c>
      <c r="AD68">
        <v>0</v>
      </c>
      <c r="AE68">
        <v>0</v>
      </c>
      <c r="AF68">
        <v>143.88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1</v>
      </c>
      <c r="AQ68">
        <v>1</v>
      </c>
      <c r="AR68">
        <v>0</v>
      </c>
      <c r="AT68">
        <v>1.3</v>
      </c>
      <c r="AU68" t="s">
        <v>17</v>
      </c>
      <c r="AV68">
        <v>0</v>
      </c>
      <c r="AW68">
        <v>2</v>
      </c>
      <c r="AX68">
        <v>26995001</v>
      </c>
      <c r="AY68">
        <v>2</v>
      </c>
      <c r="AZ68">
        <v>32768</v>
      </c>
      <c r="BA68">
        <v>92</v>
      </c>
      <c r="BB68">
        <v>1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187.044</v>
      </c>
      <c r="BL68">
        <v>0</v>
      </c>
      <c r="BM68">
        <v>0</v>
      </c>
      <c r="BN68">
        <v>0</v>
      </c>
      <c r="BO68">
        <v>0</v>
      </c>
      <c r="BP68">
        <v>1</v>
      </c>
      <c r="BQ68">
        <v>0</v>
      </c>
      <c r="BR68">
        <v>233.805</v>
      </c>
      <c r="BS68">
        <v>0</v>
      </c>
      <c r="BT68">
        <v>0</v>
      </c>
      <c r="BU68">
        <v>0</v>
      </c>
      <c r="BV68">
        <v>0</v>
      </c>
      <c r="BW68">
        <v>1</v>
      </c>
      <c r="CX68">
        <f>Y68*Source!I36</f>
        <v>1.19925</v>
      </c>
      <c r="CY68">
        <f>AB68</f>
        <v>143.88</v>
      </c>
      <c r="CZ68">
        <f>AF68</f>
        <v>143.88</v>
      </c>
      <c r="DA68">
        <f>AJ68</f>
        <v>1</v>
      </c>
      <c r="DB68">
        <v>0</v>
      </c>
    </row>
    <row r="69" spans="1:106" ht="12.75">
      <c r="A69">
        <f>ROW(Source!A36)</f>
        <v>36</v>
      </c>
      <c r="B69">
        <v>26994759</v>
      </c>
      <c r="C69">
        <v>26994987</v>
      </c>
      <c r="D69">
        <v>24512262</v>
      </c>
      <c r="E69">
        <v>1</v>
      </c>
      <c r="F69">
        <v>1</v>
      </c>
      <c r="G69">
        <v>1</v>
      </c>
      <c r="H69">
        <v>3</v>
      </c>
      <c r="I69" t="s">
        <v>449</v>
      </c>
      <c r="J69" t="s">
        <v>450</v>
      </c>
      <c r="K69" t="s">
        <v>451</v>
      </c>
      <c r="L69">
        <v>1327</v>
      </c>
      <c r="N69">
        <v>1005</v>
      </c>
      <c r="O69" t="s">
        <v>348</v>
      </c>
      <c r="P69" t="s">
        <v>348</v>
      </c>
      <c r="Q69">
        <v>1</v>
      </c>
      <c r="W69">
        <v>0</v>
      </c>
      <c r="X69">
        <v>1474728770</v>
      </c>
      <c r="Y69">
        <v>105</v>
      </c>
      <c r="AA69">
        <v>333.26</v>
      </c>
      <c r="AB69">
        <v>0</v>
      </c>
      <c r="AC69">
        <v>0</v>
      </c>
      <c r="AD69">
        <v>0</v>
      </c>
      <c r="AE69">
        <v>333.26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1</v>
      </c>
      <c r="AQ69">
        <v>1</v>
      </c>
      <c r="AR69">
        <v>0</v>
      </c>
      <c r="AT69">
        <v>105</v>
      </c>
      <c r="AV69">
        <v>0</v>
      </c>
      <c r="AW69">
        <v>2</v>
      </c>
      <c r="AX69">
        <v>26995002</v>
      </c>
      <c r="AY69">
        <v>2</v>
      </c>
      <c r="AZ69">
        <v>22528</v>
      </c>
      <c r="BA69">
        <v>93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34992.299999999996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1</v>
      </c>
      <c r="BQ69">
        <v>34992.299999999996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1</v>
      </c>
      <c r="CX69">
        <f>Y69*Source!I36</f>
        <v>77.49</v>
      </c>
      <c r="CY69">
        <f>AA69</f>
        <v>333.26</v>
      </c>
      <c r="CZ69">
        <f>AE69</f>
        <v>333.26</v>
      </c>
      <c r="DA69">
        <f>AI69</f>
        <v>1</v>
      </c>
      <c r="DB69">
        <v>0</v>
      </c>
    </row>
    <row r="70" spans="1:106" ht="12.75">
      <c r="A70">
        <f>ROW(Source!A36)</f>
        <v>36</v>
      </c>
      <c r="B70">
        <v>26994759</v>
      </c>
      <c r="C70">
        <v>26994987</v>
      </c>
      <c r="D70">
        <v>24302728</v>
      </c>
      <c r="E70">
        <v>1</v>
      </c>
      <c r="F70">
        <v>1</v>
      </c>
      <c r="G70">
        <v>1</v>
      </c>
      <c r="H70">
        <v>3</v>
      </c>
      <c r="I70" t="s">
        <v>392</v>
      </c>
      <c r="J70" t="s">
        <v>393</v>
      </c>
      <c r="K70" t="s">
        <v>394</v>
      </c>
      <c r="L70">
        <v>1346</v>
      </c>
      <c r="N70">
        <v>1009</v>
      </c>
      <c r="O70" t="s">
        <v>341</v>
      </c>
      <c r="P70" t="s">
        <v>341</v>
      </c>
      <c r="Q70">
        <v>1</v>
      </c>
      <c r="W70">
        <v>0</v>
      </c>
      <c r="X70">
        <v>-294913766</v>
      </c>
      <c r="Y70">
        <v>0.5</v>
      </c>
      <c r="AA70">
        <v>52.32</v>
      </c>
      <c r="AB70">
        <v>0</v>
      </c>
      <c r="AC70">
        <v>0</v>
      </c>
      <c r="AD70">
        <v>0</v>
      </c>
      <c r="AE70">
        <v>52.32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1</v>
      </c>
      <c r="AR70">
        <v>0</v>
      </c>
      <c r="AT70">
        <v>0.5</v>
      </c>
      <c r="AV70">
        <v>0</v>
      </c>
      <c r="AW70">
        <v>2</v>
      </c>
      <c r="AX70">
        <v>26995003</v>
      </c>
      <c r="AY70">
        <v>2</v>
      </c>
      <c r="AZ70">
        <v>16384</v>
      </c>
      <c r="BA70">
        <v>94</v>
      </c>
      <c r="BB70">
        <v>1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26.16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1</v>
      </c>
      <c r="BQ70">
        <v>26.16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CX70">
        <f>Y70*Source!I36</f>
        <v>0.369</v>
      </c>
      <c r="CY70">
        <f>AA70</f>
        <v>52.32</v>
      </c>
      <c r="CZ70">
        <f>AE70</f>
        <v>52.32</v>
      </c>
      <c r="DA70">
        <f>AI70</f>
        <v>1</v>
      </c>
      <c r="DB70">
        <v>0</v>
      </c>
    </row>
    <row r="71" spans="1:106" ht="12.75">
      <c r="A71">
        <f>ROW(Source!A36)</f>
        <v>36</v>
      </c>
      <c r="B71">
        <v>26994759</v>
      </c>
      <c r="C71">
        <v>26994987</v>
      </c>
      <c r="D71">
        <v>24754164</v>
      </c>
      <c r="E71">
        <v>1</v>
      </c>
      <c r="F71">
        <v>1</v>
      </c>
      <c r="G71">
        <v>1</v>
      </c>
      <c r="H71">
        <v>3</v>
      </c>
      <c r="I71" t="s">
        <v>452</v>
      </c>
      <c r="J71" t="s">
        <v>453</v>
      </c>
      <c r="K71" t="s">
        <v>454</v>
      </c>
      <c r="L71">
        <v>1348</v>
      </c>
      <c r="N71">
        <v>1009</v>
      </c>
      <c r="O71" t="s">
        <v>203</v>
      </c>
      <c r="P71" t="s">
        <v>203</v>
      </c>
      <c r="Q71">
        <v>1000</v>
      </c>
      <c r="W71">
        <v>0</v>
      </c>
      <c r="X71">
        <v>-2065732401</v>
      </c>
      <c r="Y71">
        <v>0.375</v>
      </c>
      <c r="AA71">
        <v>10338.98</v>
      </c>
      <c r="AB71">
        <v>0</v>
      </c>
      <c r="AC71">
        <v>0</v>
      </c>
      <c r="AD71">
        <v>0</v>
      </c>
      <c r="AE71">
        <v>10338.98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1</v>
      </c>
      <c r="AR71">
        <v>0</v>
      </c>
      <c r="AT71">
        <v>0.375</v>
      </c>
      <c r="AV71">
        <v>0</v>
      </c>
      <c r="AW71">
        <v>2</v>
      </c>
      <c r="AX71">
        <v>26995004</v>
      </c>
      <c r="AY71">
        <v>1</v>
      </c>
      <c r="AZ71">
        <v>0</v>
      </c>
      <c r="BA71">
        <v>95</v>
      </c>
      <c r="BB71">
        <v>1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3877.1175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1</v>
      </c>
      <c r="BQ71">
        <v>3877.1175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1</v>
      </c>
      <c r="CX71">
        <f>Y71*Source!I36</f>
        <v>0.27675</v>
      </c>
      <c r="CY71">
        <f>AA71</f>
        <v>10338.98</v>
      </c>
      <c r="CZ71">
        <f>AE71</f>
        <v>10338.98</v>
      </c>
      <c r="DA71">
        <f>AI71</f>
        <v>1</v>
      </c>
      <c r="DB71">
        <v>0</v>
      </c>
    </row>
    <row r="72" spans="1:106" ht="12.75">
      <c r="A72">
        <f>ROW(Source!A36)</f>
        <v>36</v>
      </c>
      <c r="B72">
        <v>26994759</v>
      </c>
      <c r="C72">
        <v>26994987</v>
      </c>
      <c r="D72">
        <v>24786573</v>
      </c>
      <c r="E72">
        <v>1</v>
      </c>
      <c r="F72">
        <v>1</v>
      </c>
      <c r="G72">
        <v>1</v>
      </c>
      <c r="H72">
        <v>3</v>
      </c>
      <c r="I72" t="s">
        <v>455</v>
      </c>
      <c r="J72" t="s">
        <v>456</v>
      </c>
      <c r="K72" t="s">
        <v>457</v>
      </c>
      <c r="L72">
        <v>1348</v>
      </c>
      <c r="N72">
        <v>1009</v>
      </c>
      <c r="O72" t="s">
        <v>203</v>
      </c>
      <c r="P72" t="s">
        <v>203</v>
      </c>
      <c r="Q72">
        <v>1000</v>
      </c>
      <c r="W72">
        <v>0</v>
      </c>
      <c r="X72">
        <v>-1751839146</v>
      </c>
      <c r="Y72">
        <v>0.05</v>
      </c>
      <c r="AA72">
        <v>55084.75</v>
      </c>
      <c r="AB72">
        <v>0</v>
      </c>
      <c r="AC72">
        <v>0</v>
      </c>
      <c r="AD72">
        <v>0</v>
      </c>
      <c r="AE72">
        <v>55084.75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1</v>
      </c>
      <c r="AQ72">
        <v>1</v>
      </c>
      <c r="AR72">
        <v>0</v>
      </c>
      <c r="AT72">
        <v>0.05</v>
      </c>
      <c r="AV72">
        <v>0</v>
      </c>
      <c r="AW72">
        <v>2</v>
      </c>
      <c r="AX72">
        <v>26995005</v>
      </c>
      <c r="AY72">
        <v>1</v>
      </c>
      <c r="AZ72">
        <v>0</v>
      </c>
      <c r="BA72">
        <v>96</v>
      </c>
      <c r="BB72">
        <v>1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2754.2375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1</v>
      </c>
      <c r="BQ72">
        <v>2754.2375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1</v>
      </c>
      <c r="CX72">
        <f>Y72*Source!I36</f>
        <v>0.0369</v>
      </c>
      <c r="CY72">
        <f>AA72</f>
        <v>55084.75</v>
      </c>
      <c r="CZ72">
        <f>AE72</f>
        <v>55084.75</v>
      </c>
      <c r="DA72">
        <f>AI72</f>
        <v>1</v>
      </c>
      <c r="DB72">
        <v>0</v>
      </c>
    </row>
    <row r="73" spans="1:106" ht="12.75">
      <c r="A73">
        <f>ROW(Source!A37)</f>
        <v>37</v>
      </c>
      <c r="B73">
        <v>26994759</v>
      </c>
      <c r="C73">
        <v>26995007</v>
      </c>
      <c r="D73">
        <v>9415352</v>
      </c>
      <c r="E73">
        <v>1</v>
      </c>
      <c r="F73">
        <v>1</v>
      </c>
      <c r="G73">
        <v>1</v>
      </c>
      <c r="H73">
        <v>1</v>
      </c>
      <c r="I73" t="s">
        <v>387</v>
      </c>
      <c r="K73" t="s">
        <v>388</v>
      </c>
      <c r="L73">
        <v>1369</v>
      </c>
      <c r="N73">
        <v>1013</v>
      </c>
      <c r="O73" t="s">
        <v>323</v>
      </c>
      <c r="P73" t="s">
        <v>323</v>
      </c>
      <c r="Q73">
        <v>1</v>
      </c>
      <c r="W73">
        <v>0</v>
      </c>
      <c r="X73">
        <v>-1673341983</v>
      </c>
      <c r="Y73">
        <v>7.532499999999999</v>
      </c>
      <c r="AA73">
        <v>0</v>
      </c>
      <c r="AB73">
        <v>0</v>
      </c>
      <c r="AC73">
        <v>0</v>
      </c>
      <c r="AD73">
        <v>141.83</v>
      </c>
      <c r="AE73">
        <v>0</v>
      </c>
      <c r="AF73">
        <v>0</v>
      </c>
      <c r="AG73">
        <v>0</v>
      </c>
      <c r="AH73">
        <v>141.83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1</v>
      </c>
      <c r="AQ73">
        <v>1</v>
      </c>
      <c r="AR73">
        <v>0</v>
      </c>
      <c r="AT73">
        <v>6.55</v>
      </c>
      <c r="AU73" t="s">
        <v>18</v>
      </c>
      <c r="AV73">
        <v>1</v>
      </c>
      <c r="AW73">
        <v>2</v>
      </c>
      <c r="AX73">
        <v>26995014</v>
      </c>
      <c r="AY73">
        <v>2</v>
      </c>
      <c r="AZ73">
        <v>131072</v>
      </c>
      <c r="BA73">
        <v>98</v>
      </c>
      <c r="BB73">
        <v>1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928.9865000000001</v>
      </c>
      <c r="BN73">
        <v>6.55</v>
      </c>
      <c r="BO73">
        <v>0</v>
      </c>
      <c r="BP73">
        <v>1</v>
      </c>
      <c r="BQ73">
        <v>0</v>
      </c>
      <c r="BR73">
        <v>0</v>
      </c>
      <c r="BS73">
        <v>0</v>
      </c>
      <c r="BT73">
        <v>1068.3344749999999</v>
      </c>
      <c r="BU73">
        <v>7.532499999999999</v>
      </c>
      <c r="BV73">
        <v>0</v>
      </c>
      <c r="BW73">
        <v>1</v>
      </c>
      <c r="CX73">
        <f>Y73*Source!I37</f>
        <v>3.7813149999999993</v>
      </c>
      <c r="CY73">
        <f>AD73</f>
        <v>141.83</v>
      </c>
      <c r="CZ73">
        <f>AH73</f>
        <v>141.83</v>
      </c>
      <c r="DA73">
        <f>AL73</f>
        <v>1</v>
      </c>
      <c r="DB73">
        <v>0</v>
      </c>
    </row>
    <row r="74" spans="1:106" ht="12.75">
      <c r="A74">
        <f>ROW(Source!A37)</f>
        <v>37</v>
      </c>
      <c r="B74">
        <v>26994759</v>
      </c>
      <c r="C74">
        <v>26995007</v>
      </c>
      <c r="D74">
        <v>121548</v>
      </c>
      <c r="E74">
        <v>1</v>
      </c>
      <c r="F74">
        <v>1</v>
      </c>
      <c r="G74">
        <v>1</v>
      </c>
      <c r="H74">
        <v>1</v>
      </c>
      <c r="I74" t="s">
        <v>26</v>
      </c>
      <c r="K74" t="s">
        <v>358</v>
      </c>
      <c r="L74">
        <v>608254</v>
      </c>
      <c r="N74">
        <v>1013</v>
      </c>
      <c r="O74" t="s">
        <v>359</v>
      </c>
      <c r="P74" t="s">
        <v>359</v>
      </c>
      <c r="Q74">
        <v>1</v>
      </c>
      <c r="W74">
        <v>0</v>
      </c>
      <c r="X74">
        <v>-185737400</v>
      </c>
      <c r="Y74">
        <v>0.0125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1</v>
      </c>
      <c r="AQ74">
        <v>1</v>
      </c>
      <c r="AR74">
        <v>0</v>
      </c>
      <c r="AT74">
        <v>0.01</v>
      </c>
      <c r="AU74" t="s">
        <v>17</v>
      </c>
      <c r="AV74">
        <v>2</v>
      </c>
      <c r="AW74">
        <v>2</v>
      </c>
      <c r="AX74">
        <v>26995015</v>
      </c>
      <c r="AY74">
        <v>1</v>
      </c>
      <c r="AZ74">
        <v>0</v>
      </c>
      <c r="BA74">
        <v>99</v>
      </c>
      <c r="BB74">
        <v>1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0.01</v>
      </c>
      <c r="BP74">
        <v>1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0.0125</v>
      </c>
      <c r="BW74">
        <v>1</v>
      </c>
      <c r="CX74">
        <f>Y74*Source!I37</f>
        <v>0.006275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ht="12.75">
      <c r="A75">
        <f>ROW(Source!A37)</f>
        <v>37</v>
      </c>
      <c r="B75">
        <v>26994759</v>
      </c>
      <c r="C75">
        <v>26995007</v>
      </c>
      <c r="D75">
        <v>21330172</v>
      </c>
      <c r="E75">
        <v>1</v>
      </c>
      <c r="F75">
        <v>1</v>
      </c>
      <c r="G75">
        <v>1</v>
      </c>
      <c r="H75">
        <v>2</v>
      </c>
      <c r="I75" t="s">
        <v>389</v>
      </c>
      <c r="J75" t="s">
        <v>410</v>
      </c>
      <c r="K75" t="s">
        <v>391</v>
      </c>
      <c r="L75">
        <v>1368</v>
      </c>
      <c r="N75">
        <v>1011</v>
      </c>
      <c r="O75" t="s">
        <v>327</v>
      </c>
      <c r="P75" t="s">
        <v>327</v>
      </c>
      <c r="Q75">
        <v>1</v>
      </c>
      <c r="W75">
        <v>0</v>
      </c>
      <c r="X75">
        <v>-1365545508</v>
      </c>
      <c r="Y75">
        <v>0.0125</v>
      </c>
      <c r="AA75">
        <v>0</v>
      </c>
      <c r="AB75">
        <v>246.77</v>
      </c>
      <c r="AC75">
        <v>0</v>
      </c>
      <c r="AD75">
        <v>0</v>
      </c>
      <c r="AE75">
        <v>0</v>
      </c>
      <c r="AF75">
        <v>246.77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1</v>
      </c>
      <c r="AQ75">
        <v>1</v>
      </c>
      <c r="AR75">
        <v>0</v>
      </c>
      <c r="AT75">
        <v>0.01</v>
      </c>
      <c r="AU75" t="s">
        <v>17</v>
      </c>
      <c r="AV75">
        <v>0</v>
      </c>
      <c r="AW75">
        <v>2</v>
      </c>
      <c r="AX75">
        <v>26995016</v>
      </c>
      <c r="AY75">
        <v>2</v>
      </c>
      <c r="AZ75">
        <v>98304</v>
      </c>
      <c r="BA75">
        <v>100</v>
      </c>
      <c r="BB75">
        <v>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2.4677000000000002</v>
      </c>
      <c r="BL75">
        <v>0</v>
      </c>
      <c r="BM75">
        <v>0</v>
      </c>
      <c r="BN75">
        <v>0</v>
      </c>
      <c r="BO75">
        <v>0</v>
      </c>
      <c r="BP75">
        <v>1</v>
      </c>
      <c r="BQ75">
        <v>0</v>
      </c>
      <c r="BR75">
        <v>3.0846250000000004</v>
      </c>
      <c r="BS75">
        <v>0</v>
      </c>
      <c r="BT75">
        <v>0</v>
      </c>
      <c r="BU75">
        <v>0</v>
      </c>
      <c r="BV75">
        <v>0</v>
      </c>
      <c r="BW75">
        <v>1</v>
      </c>
      <c r="CX75">
        <f>Y75*Source!I37</f>
        <v>0.006275</v>
      </c>
      <c r="CY75">
        <f>AB75</f>
        <v>246.77</v>
      </c>
      <c r="CZ75">
        <f>AF75</f>
        <v>246.77</v>
      </c>
      <c r="DA75">
        <f>AJ75</f>
        <v>1</v>
      </c>
      <c r="DB75">
        <v>0</v>
      </c>
    </row>
    <row r="76" spans="1:106" ht="12.75">
      <c r="A76">
        <f>ROW(Source!A37)</f>
        <v>37</v>
      </c>
      <c r="B76">
        <v>26994759</v>
      </c>
      <c r="C76">
        <v>26995007</v>
      </c>
      <c r="D76">
        <v>21280770</v>
      </c>
      <c r="E76">
        <v>1</v>
      </c>
      <c r="F76">
        <v>1</v>
      </c>
      <c r="G76">
        <v>1</v>
      </c>
      <c r="H76">
        <v>2</v>
      </c>
      <c r="I76" t="s">
        <v>371</v>
      </c>
      <c r="J76" t="s">
        <v>458</v>
      </c>
      <c r="K76" t="s">
        <v>373</v>
      </c>
      <c r="L76">
        <v>1368</v>
      </c>
      <c r="N76">
        <v>1011</v>
      </c>
      <c r="O76" t="s">
        <v>327</v>
      </c>
      <c r="P76" t="s">
        <v>327</v>
      </c>
      <c r="Q76">
        <v>1</v>
      </c>
      <c r="W76">
        <v>0</v>
      </c>
      <c r="X76">
        <v>-516600551</v>
      </c>
      <c r="Y76">
        <v>0.0125</v>
      </c>
      <c r="AA76">
        <v>0</v>
      </c>
      <c r="AB76">
        <v>691.3</v>
      </c>
      <c r="AC76">
        <v>0</v>
      </c>
      <c r="AD76">
        <v>0</v>
      </c>
      <c r="AE76">
        <v>0</v>
      </c>
      <c r="AF76">
        <v>691.3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1</v>
      </c>
      <c r="AR76">
        <v>0</v>
      </c>
      <c r="AT76">
        <v>0.01</v>
      </c>
      <c r="AU76" t="s">
        <v>17</v>
      </c>
      <c r="AV76">
        <v>0</v>
      </c>
      <c r="AW76">
        <v>2</v>
      </c>
      <c r="AX76">
        <v>26995017</v>
      </c>
      <c r="AY76">
        <v>2</v>
      </c>
      <c r="AZ76">
        <v>98304</v>
      </c>
      <c r="BA76">
        <v>101</v>
      </c>
      <c r="BB76">
        <v>1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6.912999999999999</v>
      </c>
      <c r="BL76">
        <v>0</v>
      </c>
      <c r="BM76">
        <v>0</v>
      </c>
      <c r="BN76">
        <v>0</v>
      </c>
      <c r="BO76">
        <v>0</v>
      </c>
      <c r="BP76">
        <v>1</v>
      </c>
      <c r="BQ76">
        <v>0</v>
      </c>
      <c r="BR76">
        <v>8.64125</v>
      </c>
      <c r="BS76">
        <v>0</v>
      </c>
      <c r="BT76">
        <v>0</v>
      </c>
      <c r="BU76">
        <v>0</v>
      </c>
      <c r="BV76">
        <v>0</v>
      </c>
      <c r="BW76">
        <v>1</v>
      </c>
      <c r="CX76">
        <f>Y76*Source!I37</f>
        <v>0.006275</v>
      </c>
      <c r="CY76">
        <f>AB76</f>
        <v>691.3</v>
      </c>
      <c r="CZ76">
        <f>AF76</f>
        <v>691.3</v>
      </c>
      <c r="DA76">
        <f>AJ76</f>
        <v>1</v>
      </c>
      <c r="DB76">
        <v>0</v>
      </c>
    </row>
    <row r="77" spans="1:106" ht="12.75">
      <c r="A77">
        <f>ROW(Source!A37)</f>
        <v>37</v>
      </c>
      <c r="B77">
        <v>26994759</v>
      </c>
      <c r="C77">
        <v>26995007</v>
      </c>
      <c r="D77">
        <v>21320836</v>
      </c>
      <c r="E77">
        <v>1</v>
      </c>
      <c r="F77">
        <v>1</v>
      </c>
      <c r="G77">
        <v>1</v>
      </c>
      <c r="H77">
        <v>3</v>
      </c>
      <c r="I77" t="s">
        <v>392</v>
      </c>
      <c r="J77" t="s">
        <v>411</v>
      </c>
      <c r="K77" t="s">
        <v>394</v>
      </c>
      <c r="L77">
        <v>1346</v>
      </c>
      <c r="N77">
        <v>1009</v>
      </c>
      <c r="O77" t="s">
        <v>341</v>
      </c>
      <c r="P77" t="s">
        <v>341</v>
      </c>
      <c r="Q77">
        <v>1</v>
      </c>
      <c r="W77">
        <v>0</v>
      </c>
      <c r="X77">
        <v>371875709</v>
      </c>
      <c r="Y77">
        <v>0.1</v>
      </c>
      <c r="AA77">
        <v>52.32</v>
      </c>
      <c r="AB77">
        <v>0</v>
      </c>
      <c r="AC77">
        <v>0</v>
      </c>
      <c r="AD77">
        <v>0</v>
      </c>
      <c r="AE77">
        <v>52.32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1</v>
      </c>
      <c r="AR77">
        <v>0</v>
      </c>
      <c r="AT77">
        <v>0.1</v>
      </c>
      <c r="AV77">
        <v>0</v>
      </c>
      <c r="AW77">
        <v>2</v>
      </c>
      <c r="AX77">
        <v>26995018</v>
      </c>
      <c r="AY77">
        <v>2</v>
      </c>
      <c r="AZ77">
        <v>16384</v>
      </c>
      <c r="BA77">
        <v>102</v>
      </c>
      <c r="BB77">
        <v>1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5.232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1</v>
      </c>
      <c r="BQ77">
        <v>5.232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1</v>
      </c>
      <c r="CX77">
        <f>Y77*Source!I37</f>
        <v>0.0502</v>
      </c>
      <c r="CY77">
        <f>AA77</f>
        <v>52.32</v>
      </c>
      <c r="CZ77">
        <f>AE77</f>
        <v>52.32</v>
      </c>
      <c r="DA77">
        <f>AI77</f>
        <v>1</v>
      </c>
      <c r="DB77">
        <v>0</v>
      </c>
    </row>
    <row r="78" spans="1:106" ht="12.75">
      <c r="A78">
        <f>ROW(Source!A37)</f>
        <v>37</v>
      </c>
      <c r="B78">
        <v>26994759</v>
      </c>
      <c r="C78">
        <v>26995007</v>
      </c>
      <c r="D78">
        <v>21345267</v>
      </c>
      <c r="E78">
        <v>1</v>
      </c>
      <c r="F78">
        <v>1</v>
      </c>
      <c r="G78">
        <v>1</v>
      </c>
      <c r="H78">
        <v>3</v>
      </c>
      <c r="I78" t="s">
        <v>395</v>
      </c>
      <c r="J78" t="s">
        <v>412</v>
      </c>
      <c r="K78" t="s">
        <v>459</v>
      </c>
      <c r="L78">
        <v>1348</v>
      </c>
      <c r="N78">
        <v>1009</v>
      </c>
      <c r="O78" t="s">
        <v>203</v>
      </c>
      <c r="P78" t="s">
        <v>203</v>
      </c>
      <c r="Q78">
        <v>1000</v>
      </c>
      <c r="W78">
        <v>0</v>
      </c>
      <c r="X78">
        <v>692989640</v>
      </c>
      <c r="Y78">
        <v>0.013</v>
      </c>
      <c r="AA78">
        <v>49857.01</v>
      </c>
      <c r="AB78">
        <v>0</v>
      </c>
      <c r="AC78">
        <v>0</v>
      </c>
      <c r="AD78">
        <v>0</v>
      </c>
      <c r="AE78">
        <v>49857.01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1</v>
      </c>
      <c r="AR78">
        <v>0</v>
      </c>
      <c r="AT78">
        <v>0.013</v>
      </c>
      <c r="AV78">
        <v>0</v>
      </c>
      <c r="AW78">
        <v>2</v>
      </c>
      <c r="AX78">
        <v>26995019</v>
      </c>
      <c r="AY78">
        <v>2</v>
      </c>
      <c r="AZ78">
        <v>16384</v>
      </c>
      <c r="BA78">
        <v>103</v>
      </c>
      <c r="BB78">
        <v>1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648.14113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1</v>
      </c>
      <c r="BQ78">
        <v>648.14113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1</v>
      </c>
      <c r="CX78">
        <f>Y78*Source!I37</f>
        <v>0.006526</v>
      </c>
      <c r="CY78">
        <f>AA78</f>
        <v>49857.01</v>
      </c>
      <c r="CZ78">
        <f>AE78</f>
        <v>49857.01</v>
      </c>
      <c r="DA78">
        <f>AI78</f>
        <v>1</v>
      </c>
      <c r="DB78">
        <v>0</v>
      </c>
    </row>
    <row r="79" spans="1:106" ht="12.75">
      <c r="A79">
        <f>ROW(Source!A38)</f>
        <v>38</v>
      </c>
      <c r="B79">
        <v>26994759</v>
      </c>
      <c r="C79">
        <v>27030168</v>
      </c>
      <c r="D79">
        <v>9416110</v>
      </c>
      <c r="E79">
        <v>1</v>
      </c>
      <c r="F79">
        <v>1</v>
      </c>
      <c r="G79">
        <v>1</v>
      </c>
      <c r="H79">
        <v>1</v>
      </c>
      <c r="I79" t="s">
        <v>443</v>
      </c>
      <c r="K79" t="s">
        <v>444</v>
      </c>
      <c r="L79">
        <v>1369</v>
      </c>
      <c r="N79">
        <v>1013</v>
      </c>
      <c r="O79" t="s">
        <v>323</v>
      </c>
      <c r="P79" t="s">
        <v>323</v>
      </c>
      <c r="Q79">
        <v>1</v>
      </c>
      <c r="W79">
        <v>0</v>
      </c>
      <c r="X79">
        <v>2103360120</v>
      </c>
      <c r="Y79">
        <v>59.6735</v>
      </c>
      <c r="AA79">
        <v>0</v>
      </c>
      <c r="AB79">
        <v>0</v>
      </c>
      <c r="AC79">
        <v>0</v>
      </c>
      <c r="AD79">
        <v>135.36</v>
      </c>
      <c r="AE79">
        <v>0</v>
      </c>
      <c r="AF79">
        <v>0</v>
      </c>
      <c r="AG79">
        <v>0</v>
      </c>
      <c r="AH79">
        <v>135.36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1</v>
      </c>
      <c r="AQ79">
        <v>1</v>
      </c>
      <c r="AR79">
        <v>0</v>
      </c>
      <c r="AT79">
        <v>51.89</v>
      </c>
      <c r="AU79" t="s">
        <v>18</v>
      </c>
      <c r="AV79">
        <v>1</v>
      </c>
      <c r="AW79">
        <v>2</v>
      </c>
      <c r="AX79">
        <v>27030176</v>
      </c>
      <c r="AY79">
        <v>2</v>
      </c>
      <c r="AZ79">
        <v>131072</v>
      </c>
      <c r="BA79">
        <v>104</v>
      </c>
      <c r="BB79">
        <v>1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7023.830400000001</v>
      </c>
      <c r="BN79">
        <v>51.89</v>
      </c>
      <c r="BO79">
        <v>0</v>
      </c>
      <c r="BP79">
        <v>1</v>
      </c>
      <c r="BQ79">
        <v>0</v>
      </c>
      <c r="BR79">
        <v>0</v>
      </c>
      <c r="BS79">
        <v>0</v>
      </c>
      <c r="BT79">
        <v>8077.404960000001</v>
      </c>
      <c r="BU79">
        <v>59.6735</v>
      </c>
      <c r="BV79">
        <v>0</v>
      </c>
      <c r="BW79">
        <v>1</v>
      </c>
      <c r="CX79">
        <f>Y79*Source!I38</f>
        <v>29.956097</v>
      </c>
      <c r="CY79">
        <f>AD79</f>
        <v>135.36</v>
      </c>
      <c r="CZ79">
        <f>AH79</f>
        <v>135.36</v>
      </c>
      <c r="DA79">
        <f>AL79</f>
        <v>1</v>
      </c>
      <c r="DB79">
        <v>0</v>
      </c>
    </row>
    <row r="80" spans="1:106" ht="12.75">
      <c r="A80">
        <f>ROW(Source!A38)</f>
        <v>38</v>
      </c>
      <c r="B80">
        <v>26994759</v>
      </c>
      <c r="C80">
        <v>27030168</v>
      </c>
      <c r="D80">
        <v>121548</v>
      </c>
      <c r="E80">
        <v>1</v>
      </c>
      <c r="F80">
        <v>1</v>
      </c>
      <c r="G80">
        <v>1</v>
      </c>
      <c r="H80">
        <v>1</v>
      </c>
      <c r="I80" t="s">
        <v>26</v>
      </c>
      <c r="K80" t="s">
        <v>358</v>
      </c>
      <c r="L80">
        <v>608254</v>
      </c>
      <c r="N80">
        <v>1013</v>
      </c>
      <c r="O80" t="s">
        <v>359</v>
      </c>
      <c r="P80" t="s">
        <v>359</v>
      </c>
      <c r="Q80">
        <v>1</v>
      </c>
      <c r="W80">
        <v>0</v>
      </c>
      <c r="X80">
        <v>-185737400</v>
      </c>
      <c r="Y80">
        <v>2.3375000000000004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1</v>
      </c>
      <c r="AQ80">
        <v>1</v>
      </c>
      <c r="AR80">
        <v>0</v>
      </c>
      <c r="AT80">
        <v>1.87</v>
      </c>
      <c r="AU80" t="s">
        <v>17</v>
      </c>
      <c r="AV80">
        <v>2</v>
      </c>
      <c r="AW80">
        <v>2</v>
      </c>
      <c r="AX80">
        <v>27030177</v>
      </c>
      <c r="AY80">
        <v>1</v>
      </c>
      <c r="AZ80">
        <v>0</v>
      </c>
      <c r="BA80">
        <v>105</v>
      </c>
      <c r="BB80">
        <v>1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1.87</v>
      </c>
      <c r="BP80">
        <v>1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2.3375000000000004</v>
      </c>
      <c r="BW80">
        <v>1</v>
      </c>
      <c r="CX80">
        <f>Y80*Source!I38</f>
        <v>1.1734250000000002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ht="12.75">
      <c r="A81">
        <f>ROW(Source!A38)</f>
        <v>38</v>
      </c>
      <c r="B81">
        <v>26994759</v>
      </c>
      <c r="C81">
        <v>27030168</v>
      </c>
      <c r="D81">
        <v>24265924</v>
      </c>
      <c r="E81">
        <v>1</v>
      </c>
      <c r="F81">
        <v>1</v>
      </c>
      <c r="G81">
        <v>1</v>
      </c>
      <c r="H81">
        <v>2</v>
      </c>
      <c r="I81" t="s">
        <v>436</v>
      </c>
      <c r="J81" t="s">
        <v>445</v>
      </c>
      <c r="K81" t="s">
        <v>438</v>
      </c>
      <c r="L81">
        <v>1368</v>
      </c>
      <c r="N81">
        <v>1011</v>
      </c>
      <c r="O81" t="s">
        <v>327</v>
      </c>
      <c r="P81" t="s">
        <v>327</v>
      </c>
      <c r="Q81">
        <v>1</v>
      </c>
      <c r="W81">
        <v>0</v>
      </c>
      <c r="X81">
        <v>2138795948</v>
      </c>
      <c r="Y81">
        <v>0.05</v>
      </c>
      <c r="AA81">
        <v>0</v>
      </c>
      <c r="AB81">
        <v>490.2</v>
      </c>
      <c r="AC81">
        <v>0</v>
      </c>
      <c r="AD81">
        <v>0</v>
      </c>
      <c r="AE81">
        <v>0</v>
      </c>
      <c r="AF81">
        <v>490.2</v>
      </c>
      <c r="AG81">
        <v>0</v>
      </c>
      <c r="AH81">
        <v>0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1</v>
      </c>
      <c r="AQ81">
        <v>1</v>
      </c>
      <c r="AR81">
        <v>0</v>
      </c>
      <c r="AT81">
        <v>0.04</v>
      </c>
      <c r="AU81" t="s">
        <v>17</v>
      </c>
      <c r="AV81">
        <v>0</v>
      </c>
      <c r="AW81">
        <v>2</v>
      </c>
      <c r="AX81">
        <v>27030178</v>
      </c>
      <c r="AY81">
        <v>2</v>
      </c>
      <c r="AZ81">
        <v>98304</v>
      </c>
      <c r="BA81">
        <v>106</v>
      </c>
      <c r="BB81">
        <v>1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19.608</v>
      </c>
      <c r="BL81">
        <v>0</v>
      </c>
      <c r="BM81">
        <v>0</v>
      </c>
      <c r="BN81">
        <v>0</v>
      </c>
      <c r="BO81">
        <v>0</v>
      </c>
      <c r="BP81">
        <v>1</v>
      </c>
      <c r="BQ81">
        <v>0</v>
      </c>
      <c r="BR81">
        <v>24.51</v>
      </c>
      <c r="BS81">
        <v>0</v>
      </c>
      <c r="BT81">
        <v>0</v>
      </c>
      <c r="BU81">
        <v>0</v>
      </c>
      <c r="BV81">
        <v>0</v>
      </c>
      <c r="BW81">
        <v>1</v>
      </c>
      <c r="CX81">
        <f>Y81*Source!I38</f>
        <v>0.0251</v>
      </c>
      <c r="CY81">
        <f>AB81</f>
        <v>490.2</v>
      </c>
      <c r="CZ81">
        <f>AF81</f>
        <v>490.2</v>
      </c>
      <c r="DA81">
        <f>AJ81</f>
        <v>1</v>
      </c>
      <c r="DB81">
        <v>0</v>
      </c>
    </row>
    <row r="82" spans="1:106" ht="12.75">
      <c r="A82">
        <f>ROW(Source!A38)</f>
        <v>38</v>
      </c>
      <c r="B82">
        <v>26994759</v>
      </c>
      <c r="C82">
        <v>27030168</v>
      </c>
      <c r="D82">
        <v>24312004</v>
      </c>
      <c r="E82">
        <v>1</v>
      </c>
      <c r="F82">
        <v>1</v>
      </c>
      <c r="G82">
        <v>1</v>
      </c>
      <c r="H82">
        <v>2</v>
      </c>
      <c r="I82" t="s">
        <v>389</v>
      </c>
      <c r="J82" t="s">
        <v>390</v>
      </c>
      <c r="K82" t="s">
        <v>391</v>
      </c>
      <c r="L82">
        <v>1368</v>
      </c>
      <c r="N82">
        <v>1011</v>
      </c>
      <c r="O82" t="s">
        <v>327</v>
      </c>
      <c r="P82" t="s">
        <v>327</v>
      </c>
      <c r="Q82">
        <v>1</v>
      </c>
      <c r="W82">
        <v>0</v>
      </c>
      <c r="X82">
        <v>1499254570</v>
      </c>
      <c r="Y82">
        <v>0.2</v>
      </c>
      <c r="AA82">
        <v>0</v>
      </c>
      <c r="AB82">
        <v>246.77</v>
      </c>
      <c r="AC82">
        <v>0</v>
      </c>
      <c r="AD82">
        <v>0</v>
      </c>
      <c r="AE82">
        <v>0</v>
      </c>
      <c r="AF82">
        <v>246.77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1</v>
      </c>
      <c r="AQ82">
        <v>1</v>
      </c>
      <c r="AR82">
        <v>0</v>
      </c>
      <c r="AT82">
        <v>0.16</v>
      </c>
      <c r="AU82" t="s">
        <v>17</v>
      </c>
      <c r="AV82">
        <v>0</v>
      </c>
      <c r="AW82">
        <v>2</v>
      </c>
      <c r="AX82">
        <v>27030179</v>
      </c>
      <c r="AY82">
        <v>2</v>
      </c>
      <c r="AZ82">
        <v>98304</v>
      </c>
      <c r="BA82">
        <v>107</v>
      </c>
      <c r="BB82">
        <v>1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39.483200000000004</v>
      </c>
      <c r="BL82">
        <v>0</v>
      </c>
      <c r="BM82">
        <v>0</v>
      </c>
      <c r="BN82">
        <v>0</v>
      </c>
      <c r="BO82">
        <v>0</v>
      </c>
      <c r="BP82">
        <v>1</v>
      </c>
      <c r="BQ82">
        <v>0</v>
      </c>
      <c r="BR82">
        <v>49.354000000000006</v>
      </c>
      <c r="BS82">
        <v>0</v>
      </c>
      <c r="BT82">
        <v>0</v>
      </c>
      <c r="BU82">
        <v>0</v>
      </c>
      <c r="BV82">
        <v>0</v>
      </c>
      <c r="BW82">
        <v>1</v>
      </c>
      <c r="CX82">
        <f>Y82*Source!I38</f>
        <v>0.1004</v>
      </c>
      <c r="CY82">
        <f>AB82</f>
        <v>246.77</v>
      </c>
      <c r="CZ82">
        <f>AF82</f>
        <v>246.77</v>
      </c>
      <c r="DA82">
        <f>AJ82</f>
        <v>1</v>
      </c>
      <c r="DB82">
        <v>0</v>
      </c>
    </row>
    <row r="83" spans="1:106" ht="12.75">
      <c r="A83">
        <f>ROW(Source!A38)</f>
        <v>38</v>
      </c>
      <c r="B83">
        <v>26994759</v>
      </c>
      <c r="C83">
        <v>27030168</v>
      </c>
      <c r="D83">
        <v>24313971</v>
      </c>
      <c r="E83">
        <v>1</v>
      </c>
      <c r="F83">
        <v>1</v>
      </c>
      <c r="G83">
        <v>1</v>
      </c>
      <c r="H83">
        <v>2</v>
      </c>
      <c r="I83" t="s">
        <v>446</v>
      </c>
      <c r="J83" t="s">
        <v>447</v>
      </c>
      <c r="K83" t="s">
        <v>448</v>
      </c>
      <c r="L83">
        <v>1368</v>
      </c>
      <c r="N83">
        <v>1011</v>
      </c>
      <c r="O83" t="s">
        <v>327</v>
      </c>
      <c r="P83" t="s">
        <v>327</v>
      </c>
      <c r="Q83">
        <v>1</v>
      </c>
      <c r="W83">
        <v>0</v>
      </c>
      <c r="X83">
        <v>-1768163559</v>
      </c>
      <c r="Y83">
        <v>2.0875</v>
      </c>
      <c r="AA83">
        <v>0</v>
      </c>
      <c r="AB83">
        <v>143.88</v>
      </c>
      <c r="AC83">
        <v>0</v>
      </c>
      <c r="AD83">
        <v>0</v>
      </c>
      <c r="AE83">
        <v>0</v>
      </c>
      <c r="AF83">
        <v>143.88</v>
      </c>
      <c r="AG83">
        <v>0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1</v>
      </c>
      <c r="AQ83">
        <v>1</v>
      </c>
      <c r="AR83">
        <v>0</v>
      </c>
      <c r="AT83">
        <v>1.67</v>
      </c>
      <c r="AU83" t="s">
        <v>17</v>
      </c>
      <c r="AV83">
        <v>0</v>
      </c>
      <c r="AW83">
        <v>2</v>
      </c>
      <c r="AX83">
        <v>27030180</v>
      </c>
      <c r="AY83">
        <v>2</v>
      </c>
      <c r="AZ83">
        <v>98304</v>
      </c>
      <c r="BA83">
        <v>108</v>
      </c>
      <c r="BB83">
        <v>1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240.2796</v>
      </c>
      <c r="BL83">
        <v>0</v>
      </c>
      <c r="BM83">
        <v>0</v>
      </c>
      <c r="BN83">
        <v>0</v>
      </c>
      <c r="BO83">
        <v>0</v>
      </c>
      <c r="BP83">
        <v>1</v>
      </c>
      <c r="BQ83">
        <v>0</v>
      </c>
      <c r="BR83">
        <v>300.3495</v>
      </c>
      <c r="BS83">
        <v>0</v>
      </c>
      <c r="BT83">
        <v>0</v>
      </c>
      <c r="BU83">
        <v>0</v>
      </c>
      <c r="BV83">
        <v>0</v>
      </c>
      <c r="BW83">
        <v>1</v>
      </c>
      <c r="CX83">
        <f>Y83*Source!I38</f>
        <v>1.047925</v>
      </c>
      <c r="CY83">
        <f>AB83</f>
        <v>143.88</v>
      </c>
      <c r="CZ83">
        <f>AF83</f>
        <v>143.88</v>
      </c>
      <c r="DA83">
        <f>AJ83</f>
        <v>1</v>
      </c>
      <c r="DB83">
        <v>0</v>
      </c>
    </row>
    <row r="84" spans="1:106" ht="12.75">
      <c r="A84">
        <f>ROW(Source!A38)</f>
        <v>38</v>
      </c>
      <c r="B84">
        <v>26994759</v>
      </c>
      <c r="C84">
        <v>27030168</v>
      </c>
      <c r="D84">
        <v>24327390</v>
      </c>
      <c r="E84">
        <v>1</v>
      </c>
      <c r="F84">
        <v>1</v>
      </c>
      <c r="G84">
        <v>1</v>
      </c>
      <c r="H84">
        <v>3</v>
      </c>
      <c r="I84" t="s">
        <v>395</v>
      </c>
      <c r="J84" t="s">
        <v>396</v>
      </c>
      <c r="K84" t="s">
        <v>397</v>
      </c>
      <c r="L84">
        <v>1348</v>
      </c>
      <c r="N84">
        <v>1009</v>
      </c>
      <c r="O84" t="s">
        <v>203</v>
      </c>
      <c r="P84" t="s">
        <v>203</v>
      </c>
      <c r="Q84">
        <v>1000</v>
      </c>
      <c r="W84">
        <v>0</v>
      </c>
      <c r="X84">
        <v>1785764018</v>
      </c>
      <c r="Y84">
        <v>0.01</v>
      </c>
      <c r="AA84">
        <v>35593.22</v>
      </c>
      <c r="AB84">
        <v>0</v>
      </c>
      <c r="AC84">
        <v>0</v>
      </c>
      <c r="AD84">
        <v>0</v>
      </c>
      <c r="AE84">
        <v>35593.22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1</v>
      </c>
      <c r="AO84">
        <v>0</v>
      </c>
      <c r="AP84">
        <v>0</v>
      </c>
      <c r="AQ84">
        <v>1</v>
      </c>
      <c r="AR84">
        <v>0</v>
      </c>
      <c r="AT84">
        <v>0.01</v>
      </c>
      <c r="AV84">
        <v>0</v>
      </c>
      <c r="AW84">
        <v>2</v>
      </c>
      <c r="AX84">
        <v>27030181</v>
      </c>
      <c r="AY84">
        <v>2</v>
      </c>
      <c r="AZ84">
        <v>22528</v>
      </c>
      <c r="BA84">
        <v>109</v>
      </c>
      <c r="BB84">
        <v>1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355.9322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1</v>
      </c>
      <c r="BQ84">
        <v>355.9322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1</v>
      </c>
      <c r="CX84">
        <f>Y84*Source!I38</f>
        <v>0.00502</v>
      </c>
      <c r="CY84">
        <f>AA84</f>
        <v>35593.22</v>
      </c>
      <c r="CZ84">
        <f>AE84</f>
        <v>35593.22</v>
      </c>
      <c r="DA84">
        <f>AI84</f>
        <v>1</v>
      </c>
      <c r="DB84">
        <v>0</v>
      </c>
    </row>
    <row r="85" spans="1:106" ht="12.75">
      <c r="A85">
        <f>ROW(Source!A38)</f>
        <v>38</v>
      </c>
      <c r="B85">
        <v>26994759</v>
      </c>
      <c r="C85">
        <v>27030168</v>
      </c>
      <c r="D85">
        <v>24786572</v>
      </c>
      <c r="E85">
        <v>1</v>
      </c>
      <c r="F85">
        <v>1</v>
      </c>
      <c r="G85">
        <v>1</v>
      </c>
      <c r="H85">
        <v>3</v>
      </c>
      <c r="I85" t="s">
        <v>460</v>
      </c>
      <c r="J85" t="s">
        <v>461</v>
      </c>
      <c r="K85" t="s">
        <v>462</v>
      </c>
      <c r="L85">
        <v>1348</v>
      </c>
      <c r="N85">
        <v>1009</v>
      </c>
      <c r="O85" t="s">
        <v>203</v>
      </c>
      <c r="P85" t="s">
        <v>203</v>
      </c>
      <c r="Q85">
        <v>1000</v>
      </c>
      <c r="W85">
        <v>0</v>
      </c>
      <c r="X85">
        <v>663679360</v>
      </c>
      <c r="Y85">
        <v>0.97</v>
      </c>
      <c r="AA85">
        <v>10451.98</v>
      </c>
      <c r="AB85">
        <v>0</v>
      </c>
      <c r="AC85">
        <v>0</v>
      </c>
      <c r="AD85">
        <v>0</v>
      </c>
      <c r="AE85">
        <v>10451.98</v>
      </c>
      <c r="AF85">
        <v>0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1</v>
      </c>
      <c r="AR85">
        <v>0</v>
      </c>
      <c r="AT85">
        <v>0.97</v>
      </c>
      <c r="AV85">
        <v>0</v>
      </c>
      <c r="AW85">
        <v>2</v>
      </c>
      <c r="AX85">
        <v>27030182</v>
      </c>
      <c r="AY85">
        <v>2</v>
      </c>
      <c r="AZ85">
        <v>16384</v>
      </c>
      <c r="BA85">
        <v>110</v>
      </c>
      <c r="BB85">
        <v>1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10138.4206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1</v>
      </c>
      <c r="BQ85">
        <v>10138.4206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1</v>
      </c>
      <c r="CX85">
        <f>Y85*Source!I38</f>
        <v>0.48694</v>
      </c>
      <c r="CY85">
        <f>AA85</f>
        <v>10451.98</v>
      </c>
      <c r="CZ85">
        <f>AE85</f>
        <v>10451.98</v>
      </c>
      <c r="DA85">
        <f>AI85</f>
        <v>1</v>
      </c>
      <c r="DB85">
        <v>0</v>
      </c>
    </row>
    <row r="86" spans="1:106" ht="12.75">
      <c r="A86">
        <f>ROW(Source!A39)</f>
        <v>39</v>
      </c>
      <c r="B86">
        <v>26994759</v>
      </c>
      <c r="C86">
        <v>26995034</v>
      </c>
      <c r="D86">
        <v>9416104</v>
      </c>
      <c r="E86">
        <v>1</v>
      </c>
      <c r="F86">
        <v>1</v>
      </c>
      <c r="G86">
        <v>1</v>
      </c>
      <c r="H86">
        <v>1</v>
      </c>
      <c r="I86" t="s">
        <v>400</v>
      </c>
      <c r="K86" t="s">
        <v>401</v>
      </c>
      <c r="L86">
        <v>1369</v>
      </c>
      <c r="N86">
        <v>1013</v>
      </c>
      <c r="O86" t="s">
        <v>323</v>
      </c>
      <c r="P86" t="s">
        <v>323</v>
      </c>
      <c r="Q86">
        <v>1</v>
      </c>
      <c r="W86">
        <v>0</v>
      </c>
      <c r="X86">
        <v>1343512101</v>
      </c>
      <c r="Y86">
        <v>383.06</v>
      </c>
      <c r="AA86">
        <v>0</v>
      </c>
      <c r="AB86">
        <v>0</v>
      </c>
      <c r="AC86">
        <v>0</v>
      </c>
      <c r="AD86">
        <v>132.29</v>
      </c>
      <c r="AE86">
        <v>0</v>
      </c>
      <c r="AF86">
        <v>0</v>
      </c>
      <c r="AG86">
        <v>0</v>
      </c>
      <c r="AH86">
        <v>132.29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1</v>
      </c>
      <c r="AQ86">
        <v>1</v>
      </c>
      <c r="AR86">
        <v>0</v>
      </c>
      <c r="AT86">
        <v>383.06</v>
      </c>
      <c r="AV86">
        <v>1</v>
      </c>
      <c r="AW86">
        <v>2</v>
      </c>
      <c r="AX86">
        <v>26995040</v>
      </c>
      <c r="AY86">
        <v>2</v>
      </c>
      <c r="AZ86">
        <v>131072</v>
      </c>
      <c r="BA86">
        <v>112</v>
      </c>
      <c r="BB86">
        <v>1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50675.007399999995</v>
      </c>
      <c r="BN86">
        <v>383.06</v>
      </c>
      <c r="BO86">
        <v>0</v>
      </c>
      <c r="BP86">
        <v>1</v>
      </c>
      <c r="BQ86">
        <v>0</v>
      </c>
      <c r="BR86">
        <v>0</v>
      </c>
      <c r="BS86">
        <v>0</v>
      </c>
      <c r="BT86">
        <v>50675.007399999995</v>
      </c>
      <c r="BU86">
        <v>383.06</v>
      </c>
      <c r="BV86">
        <v>0</v>
      </c>
      <c r="BW86">
        <v>1</v>
      </c>
      <c r="CX86">
        <f>Y86*Source!I39</f>
        <v>18.00382</v>
      </c>
      <c r="CY86">
        <f>AD86</f>
        <v>132.29</v>
      </c>
      <c r="CZ86">
        <f>AH86</f>
        <v>132.29</v>
      </c>
      <c r="DA86">
        <f>AL86</f>
        <v>1</v>
      </c>
      <c r="DB86">
        <v>0</v>
      </c>
    </row>
    <row r="87" spans="1:106" ht="12.75">
      <c r="A87">
        <f>ROW(Source!A39)</f>
        <v>39</v>
      </c>
      <c r="B87">
        <v>26994759</v>
      </c>
      <c r="C87">
        <v>26995034</v>
      </c>
      <c r="D87">
        <v>121548</v>
      </c>
      <c r="E87">
        <v>1</v>
      </c>
      <c r="F87">
        <v>1</v>
      </c>
      <c r="G87">
        <v>1</v>
      </c>
      <c r="H87">
        <v>1</v>
      </c>
      <c r="I87" t="s">
        <v>26</v>
      </c>
      <c r="K87" t="s">
        <v>358</v>
      </c>
      <c r="L87">
        <v>608254</v>
      </c>
      <c r="N87">
        <v>1013</v>
      </c>
      <c r="O87" t="s">
        <v>359</v>
      </c>
      <c r="P87" t="s">
        <v>359</v>
      </c>
      <c r="Q87">
        <v>1</v>
      </c>
      <c r="W87">
        <v>0</v>
      </c>
      <c r="X87">
        <v>-185737400</v>
      </c>
      <c r="Y87">
        <v>1.16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1</v>
      </c>
      <c r="AQ87">
        <v>1</v>
      </c>
      <c r="AR87">
        <v>0</v>
      </c>
      <c r="AT87">
        <v>1.16</v>
      </c>
      <c r="AV87">
        <v>2</v>
      </c>
      <c r="AW87">
        <v>2</v>
      </c>
      <c r="AX87">
        <v>26995041</v>
      </c>
      <c r="AY87">
        <v>1</v>
      </c>
      <c r="AZ87">
        <v>0</v>
      </c>
      <c r="BA87">
        <v>113</v>
      </c>
      <c r="BB87">
        <v>1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1.16</v>
      </c>
      <c r="BP87">
        <v>1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1.16</v>
      </c>
      <c r="BW87">
        <v>1</v>
      </c>
      <c r="CX87">
        <f>Y87*Source!I39</f>
        <v>0.05452</v>
      </c>
      <c r="CY87">
        <f>AD87</f>
        <v>0</v>
      </c>
      <c r="CZ87">
        <f>AH87</f>
        <v>0</v>
      </c>
      <c r="DA87">
        <f>AL87</f>
        <v>1</v>
      </c>
      <c r="DB87">
        <v>0</v>
      </c>
    </row>
    <row r="88" spans="1:106" ht="12.75">
      <c r="A88">
        <f>ROW(Source!A39)</f>
        <v>39</v>
      </c>
      <c r="B88">
        <v>26994759</v>
      </c>
      <c r="C88">
        <v>26995034</v>
      </c>
      <c r="D88">
        <v>21330172</v>
      </c>
      <c r="E88">
        <v>1</v>
      </c>
      <c r="F88">
        <v>1</v>
      </c>
      <c r="G88">
        <v>1</v>
      </c>
      <c r="H88">
        <v>2</v>
      </c>
      <c r="I88" t="s">
        <v>389</v>
      </c>
      <c r="J88" t="s">
        <v>410</v>
      </c>
      <c r="K88" t="s">
        <v>391</v>
      </c>
      <c r="L88">
        <v>1368</v>
      </c>
      <c r="N88">
        <v>1011</v>
      </c>
      <c r="O88" t="s">
        <v>327</v>
      </c>
      <c r="P88" t="s">
        <v>327</v>
      </c>
      <c r="Q88">
        <v>1</v>
      </c>
      <c r="W88">
        <v>0</v>
      </c>
      <c r="X88">
        <v>-1365545508</v>
      </c>
      <c r="Y88">
        <v>1.16</v>
      </c>
      <c r="AA88">
        <v>0</v>
      </c>
      <c r="AB88">
        <v>246.77</v>
      </c>
      <c r="AC88">
        <v>0</v>
      </c>
      <c r="AD88">
        <v>0</v>
      </c>
      <c r="AE88">
        <v>0</v>
      </c>
      <c r="AF88">
        <v>246.77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1</v>
      </c>
      <c r="AQ88">
        <v>1</v>
      </c>
      <c r="AR88">
        <v>0</v>
      </c>
      <c r="AT88">
        <v>1.16</v>
      </c>
      <c r="AV88">
        <v>0</v>
      </c>
      <c r="AW88">
        <v>2</v>
      </c>
      <c r="AX88">
        <v>26995042</v>
      </c>
      <c r="AY88">
        <v>2</v>
      </c>
      <c r="AZ88">
        <v>98304</v>
      </c>
      <c r="BA88">
        <v>114</v>
      </c>
      <c r="BB88">
        <v>1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286.2532</v>
      </c>
      <c r="BL88">
        <v>0</v>
      </c>
      <c r="BM88">
        <v>0</v>
      </c>
      <c r="BN88">
        <v>0</v>
      </c>
      <c r="BO88">
        <v>0</v>
      </c>
      <c r="BP88">
        <v>1</v>
      </c>
      <c r="BQ88">
        <v>0</v>
      </c>
      <c r="BR88">
        <v>286.2532</v>
      </c>
      <c r="BS88">
        <v>0</v>
      </c>
      <c r="BT88">
        <v>0</v>
      </c>
      <c r="BU88">
        <v>0</v>
      </c>
      <c r="BV88">
        <v>0</v>
      </c>
      <c r="BW88">
        <v>1</v>
      </c>
      <c r="CX88">
        <f>Y88*Source!I39</f>
        <v>0.05452</v>
      </c>
      <c r="CY88">
        <f>AB88</f>
        <v>246.77</v>
      </c>
      <c r="CZ88">
        <f>AF88</f>
        <v>246.77</v>
      </c>
      <c r="DA88">
        <f>AJ88</f>
        <v>1</v>
      </c>
      <c r="DB88">
        <v>0</v>
      </c>
    </row>
    <row r="89" spans="1:106" ht="12.75">
      <c r="A89">
        <f>ROW(Source!A39)</f>
        <v>39</v>
      </c>
      <c r="B89">
        <v>26994759</v>
      </c>
      <c r="C89">
        <v>26995034</v>
      </c>
      <c r="D89">
        <v>21326426</v>
      </c>
      <c r="E89">
        <v>1</v>
      </c>
      <c r="F89">
        <v>1</v>
      </c>
      <c r="G89">
        <v>1</v>
      </c>
      <c r="H89">
        <v>3</v>
      </c>
      <c r="I89" t="s">
        <v>433</v>
      </c>
      <c r="J89" t="s">
        <v>463</v>
      </c>
      <c r="K89" t="s">
        <v>435</v>
      </c>
      <c r="L89">
        <v>1339</v>
      </c>
      <c r="N89">
        <v>1007</v>
      </c>
      <c r="O89" t="s">
        <v>377</v>
      </c>
      <c r="P89" t="s">
        <v>377</v>
      </c>
      <c r="Q89">
        <v>1</v>
      </c>
      <c r="W89">
        <v>0</v>
      </c>
      <c r="X89">
        <v>-1553518861</v>
      </c>
      <c r="Y89">
        <v>4.4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1</v>
      </c>
      <c r="AR89">
        <v>0</v>
      </c>
      <c r="AT89">
        <v>4.4</v>
      </c>
      <c r="AV89">
        <v>0</v>
      </c>
      <c r="AW89">
        <v>2</v>
      </c>
      <c r="AX89">
        <v>26995043</v>
      </c>
      <c r="AY89">
        <v>2</v>
      </c>
      <c r="AZ89">
        <v>16384</v>
      </c>
      <c r="BA89">
        <v>115</v>
      </c>
      <c r="BB89">
        <v>1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Y89*Source!I39</f>
        <v>0.2068</v>
      </c>
      <c r="CY89">
        <f>AA89</f>
        <v>0</v>
      </c>
      <c r="CZ89">
        <f>AE89</f>
        <v>0</v>
      </c>
      <c r="DA89">
        <f>AI89</f>
        <v>1</v>
      </c>
      <c r="DB89">
        <v>0</v>
      </c>
    </row>
    <row r="90" spans="1:106" ht="12.75">
      <c r="A90">
        <f>ROW(Source!A39)</f>
        <v>39</v>
      </c>
      <c r="B90">
        <v>26994759</v>
      </c>
      <c r="C90">
        <v>26995034</v>
      </c>
      <c r="D90">
        <v>21518261</v>
      </c>
      <c r="E90">
        <v>1</v>
      </c>
      <c r="F90">
        <v>1</v>
      </c>
      <c r="G90">
        <v>1</v>
      </c>
      <c r="H90">
        <v>3</v>
      </c>
      <c r="I90" t="s">
        <v>464</v>
      </c>
      <c r="J90" t="s">
        <v>465</v>
      </c>
      <c r="K90" t="s">
        <v>466</v>
      </c>
      <c r="L90">
        <v>1348</v>
      </c>
      <c r="N90">
        <v>1009</v>
      </c>
      <c r="O90" t="s">
        <v>203</v>
      </c>
      <c r="P90" t="s">
        <v>203</v>
      </c>
      <c r="Q90">
        <v>1000</v>
      </c>
      <c r="W90">
        <v>0</v>
      </c>
      <c r="X90">
        <v>-2126869214</v>
      </c>
      <c r="Y90">
        <v>8.1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1</v>
      </c>
      <c r="AR90">
        <v>0</v>
      </c>
      <c r="AT90">
        <v>8.1</v>
      </c>
      <c r="AV90">
        <v>0</v>
      </c>
      <c r="AW90">
        <v>2</v>
      </c>
      <c r="AX90">
        <v>26995045</v>
      </c>
      <c r="AY90">
        <v>1</v>
      </c>
      <c r="AZ90">
        <v>0</v>
      </c>
      <c r="BA90">
        <v>117</v>
      </c>
      <c r="BB90">
        <v>1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Y90*Source!I39</f>
        <v>0.3807</v>
      </c>
      <c r="CY90">
        <f>AA90</f>
        <v>0</v>
      </c>
      <c r="CZ90">
        <f>AE90</f>
        <v>0</v>
      </c>
      <c r="DA90">
        <f>AI90</f>
        <v>1</v>
      </c>
      <c r="DB90">
        <v>0</v>
      </c>
    </row>
    <row r="91" spans="1:106" ht="12.75">
      <c r="A91">
        <f>ROW(Source!A40)</f>
        <v>40</v>
      </c>
      <c r="B91">
        <v>26994759</v>
      </c>
      <c r="C91">
        <v>26995046</v>
      </c>
      <c r="D91">
        <v>9415152</v>
      </c>
      <c r="E91">
        <v>1</v>
      </c>
      <c r="F91">
        <v>1</v>
      </c>
      <c r="G91">
        <v>1</v>
      </c>
      <c r="H91">
        <v>1</v>
      </c>
      <c r="I91" t="s">
        <v>416</v>
      </c>
      <c r="K91" t="s">
        <v>417</v>
      </c>
      <c r="L91">
        <v>1369</v>
      </c>
      <c r="N91">
        <v>1013</v>
      </c>
      <c r="O91" t="s">
        <v>323</v>
      </c>
      <c r="P91" t="s">
        <v>323</v>
      </c>
      <c r="Q91">
        <v>1</v>
      </c>
      <c r="W91">
        <v>0</v>
      </c>
      <c r="X91">
        <v>1607597553</v>
      </c>
      <c r="Y91">
        <v>273.6</v>
      </c>
      <c r="AA91">
        <v>0</v>
      </c>
      <c r="AB91">
        <v>0</v>
      </c>
      <c r="AC91">
        <v>0</v>
      </c>
      <c r="AD91">
        <v>115.12</v>
      </c>
      <c r="AE91">
        <v>0</v>
      </c>
      <c r="AF91">
        <v>0</v>
      </c>
      <c r="AG91">
        <v>0</v>
      </c>
      <c r="AH91">
        <v>115.12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1</v>
      </c>
      <c r="AQ91">
        <v>1</v>
      </c>
      <c r="AR91">
        <v>0</v>
      </c>
      <c r="AT91">
        <v>273.6</v>
      </c>
      <c r="AV91">
        <v>1</v>
      </c>
      <c r="AW91">
        <v>2</v>
      </c>
      <c r="AX91">
        <v>26995052</v>
      </c>
      <c r="AY91">
        <v>2</v>
      </c>
      <c r="AZ91">
        <v>131072</v>
      </c>
      <c r="BA91">
        <v>118</v>
      </c>
      <c r="BB91">
        <v>1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31496.832000000002</v>
      </c>
      <c r="BN91">
        <v>273.6</v>
      </c>
      <c r="BO91">
        <v>0</v>
      </c>
      <c r="BP91">
        <v>1</v>
      </c>
      <c r="BQ91">
        <v>0</v>
      </c>
      <c r="BR91">
        <v>0</v>
      </c>
      <c r="BS91">
        <v>0</v>
      </c>
      <c r="BT91">
        <v>31496.832000000002</v>
      </c>
      <c r="BU91">
        <v>273.6</v>
      </c>
      <c r="BV91">
        <v>0</v>
      </c>
      <c r="BW91">
        <v>1</v>
      </c>
      <c r="CX91">
        <f>Y91*Source!I40</f>
        <v>0.57456</v>
      </c>
      <c r="CY91">
        <f>AD91</f>
        <v>115.12</v>
      </c>
      <c r="CZ91">
        <f>AH91</f>
        <v>115.12</v>
      </c>
      <c r="DA91">
        <f>AL91</f>
        <v>1</v>
      </c>
      <c r="DB91">
        <v>0</v>
      </c>
    </row>
    <row r="92" spans="1:106" ht="12.75">
      <c r="A92">
        <f>ROW(Source!A40)</f>
        <v>40</v>
      </c>
      <c r="B92">
        <v>26994759</v>
      </c>
      <c r="C92">
        <v>26995046</v>
      </c>
      <c r="D92">
        <v>121548</v>
      </c>
      <c r="E92">
        <v>1</v>
      </c>
      <c r="F92">
        <v>1</v>
      </c>
      <c r="G92">
        <v>1</v>
      </c>
      <c r="H92">
        <v>1</v>
      </c>
      <c r="I92" t="s">
        <v>26</v>
      </c>
      <c r="K92" t="s">
        <v>358</v>
      </c>
      <c r="L92">
        <v>608254</v>
      </c>
      <c r="N92">
        <v>1013</v>
      </c>
      <c r="O92" t="s">
        <v>359</v>
      </c>
      <c r="P92" t="s">
        <v>359</v>
      </c>
      <c r="Q92">
        <v>1</v>
      </c>
      <c r="W92">
        <v>0</v>
      </c>
      <c r="X92">
        <v>-185737400</v>
      </c>
      <c r="Y92">
        <v>50.78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1</v>
      </c>
      <c r="AQ92">
        <v>1</v>
      </c>
      <c r="AR92">
        <v>0</v>
      </c>
      <c r="AT92">
        <v>50.78</v>
      </c>
      <c r="AV92">
        <v>2</v>
      </c>
      <c r="AW92">
        <v>2</v>
      </c>
      <c r="AX92">
        <v>26995053</v>
      </c>
      <c r="AY92">
        <v>1</v>
      </c>
      <c r="AZ92">
        <v>0</v>
      </c>
      <c r="BA92">
        <v>119</v>
      </c>
      <c r="BB92">
        <v>1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50.78</v>
      </c>
      <c r="BP92">
        <v>1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50.78</v>
      </c>
      <c r="BW92">
        <v>1</v>
      </c>
      <c r="CX92">
        <f>Y92*Source!I40</f>
        <v>0.106638</v>
      </c>
      <c r="CY92">
        <f>AD92</f>
        <v>0</v>
      </c>
      <c r="CZ92">
        <f>AH92</f>
        <v>0</v>
      </c>
      <c r="DA92">
        <f>AL92</f>
        <v>1</v>
      </c>
      <c r="DB92">
        <v>0</v>
      </c>
    </row>
    <row r="93" spans="1:106" ht="12.75">
      <c r="A93">
        <f>ROW(Source!A40)</f>
        <v>40</v>
      </c>
      <c r="B93">
        <v>26994759</v>
      </c>
      <c r="C93">
        <v>26995046</v>
      </c>
      <c r="D93">
        <v>21284566</v>
      </c>
      <c r="E93">
        <v>1</v>
      </c>
      <c r="F93">
        <v>1</v>
      </c>
      <c r="G93">
        <v>1</v>
      </c>
      <c r="H93">
        <v>2</v>
      </c>
      <c r="I93" t="s">
        <v>436</v>
      </c>
      <c r="J93" t="s">
        <v>437</v>
      </c>
      <c r="K93" t="s">
        <v>438</v>
      </c>
      <c r="L93">
        <v>1368</v>
      </c>
      <c r="N93">
        <v>1011</v>
      </c>
      <c r="O93" t="s">
        <v>327</v>
      </c>
      <c r="P93" t="s">
        <v>327</v>
      </c>
      <c r="Q93">
        <v>1</v>
      </c>
      <c r="W93">
        <v>0</v>
      </c>
      <c r="X93">
        <v>663299220</v>
      </c>
      <c r="Y93">
        <v>14.82</v>
      </c>
      <c r="AA93">
        <v>0</v>
      </c>
      <c r="AB93">
        <v>490.2</v>
      </c>
      <c r="AC93">
        <v>0</v>
      </c>
      <c r="AD93">
        <v>0</v>
      </c>
      <c r="AE93">
        <v>0</v>
      </c>
      <c r="AF93">
        <v>490.2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0</v>
      </c>
      <c r="AP93">
        <v>1</v>
      </c>
      <c r="AQ93">
        <v>1</v>
      </c>
      <c r="AR93">
        <v>0</v>
      </c>
      <c r="AT93">
        <v>14.82</v>
      </c>
      <c r="AV93">
        <v>0</v>
      </c>
      <c r="AW93">
        <v>2</v>
      </c>
      <c r="AX93">
        <v>26995054</v>
      </c>
      <c r="AY93">
        <v>2</v>
      </c>
      <c r="AZ93">
        <v>98304</v>
      </c>
      <c r="BA93">
        <v>120</v>
      </c>
      <c r="BB93">
        <v>1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7264.764</v>
      </c>
      <c r="BL93">
        <v>0</v>
      </c>
      <c r="BM93">
        <v>0</v>
      </c>
      <c r="BN93">
        <v>0</v>
      </c>
      <c r="BO93">
        <v>0</v>
      </c>
      <c r="BP93">
        <v>1</v>
      </c>
      <c r="BQ93">
        <v>0</v>
      </c>
      <c r="BR93">
        <v>7264.764</v>
      </c>
      <c r="BS93">
        <v>0</v>
      </c>
      <c r="BT93">
        <v>0</v>
      </c>
      <c r="BU93">
        <v>0</v>
      </c>
      <c r="BV93">
        <v>0</v>
      </c>
      <c r="BW93">
        <v>1</v>
      </c>
      <c r="CX93">
        <f>Y93*Source!I40</f>
        <v>0.031122</v>
      </c>
      <c r="CY93">
        <f>AB93</f>
        <v>490.2</v>
      </c>
      <c r="CZ93">
        <f>AF93</f>
        <v>490.2</v>
      </c>
      <c r="DA93">
        <f>AJ93</f>
        <v>1</v>
      </c>
      <c r="DB93">
        <v>0</v>
      </c>
    </row>
    <row r="94" spans="1:106" ht="12.75">
      <c r="A94">
        <f>ROW(Source!A40)</f>
        <v>40</v>
      </c>
      <c r="B94">
        <v>26994759</v>
      </c>
      <c r="C94">
        <v>26995046</v>
      </c>
      <c r="D94">
        <v>21321317</v>
      </c>
      <c r="E94">
        <v>1</v>
      </c>
      <c r="F94">
        <v>1</v>
      </c>
      <c r="G94">
        <v>1</v>
      </c>
      <c r="H94">
        <v>2</v>
      </c>
      <c r="I94" t="s">
        <v>439</v>
      </c>
      <c r="J94" t="s">
        <v>440</v>
      </c>
      <c r="K94" t="s">
        <v>441</v>
      </c>
      <c r="L94">
        <v>1368</v>
      </c>
      <c r="N94">
        <v>1011</v>
      </c>
      <c r="O94" t="s">
        <v>327</v>
      </c>
      <c r="P94" t="s">
        <v>327</v>
      </c>
      <c r="Q94">
        <v>1</v>
      </c>
      <c r="W94">
        <v>0</v>
      </c>
      <c r="X94">
        <v>1857288079</v>
      </c>
      <c r="Y94">
        <v>35.96</v>
      </c>
      <c r="AA94">
        <v>0</v>
      </c>
      <c r="AB94">
        <v>157.72</v>
      </c>
      <c r="AC94">
        <v>0</v>
      </c>
      <c r="AD94">
        <v>0</v>
      </c>
      <c r="AE94">
        <v>0</v>
      </c>
      <c r="AF94">
        <v>157.72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1</v>
      </c>
      <c r="AQ94">
        <v>1</v>
      </c>
      <c r="AR94">
        <v>0</v>
      </c>
      <c r="AT94">
        <v>35.96</v>
      </c>
      <c r="AV94">
        <v>0</v>
      </c>
      <c r="AW94">
        <v>2</v>
      </c>
      <c r="AX94">
        <v>26995055</v>
      </c>
      <c r="AY94">
        <v>2</v>
      </c>
      <c r="AZ94">
        <v>98304</v>
      </c>
      <c r="BA94">
        <v>121</v>
      </c>
      <c r="BB94">
        <v>1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5671.6112</v>
      </c>
      <c r="BL94">
        <v>0</v>
      </c>
      <c r="BM94">
        <v>0</v>
      </c>
      <c r="BN94">
        <v>0</v>
      </c>
      <c r="BO94">
        <v>0</v>
      </c>
      <c r="BP94">
        <v>1</v>
      </c>
      <c r="BQ94">
        <v>0</v>
      </c>
      <c r="BR94">
        <v>5671.6112</v>
      </c>
      <c r="BS94">
        <v>0</v>
      </c>
      <c r="BT94">
        <v>0</v>
      </c>
      <c r="BU94">
        <v>0</v>
      </c>
      <c r="BV94">
        <v>0</v>
      </c>
      <c r="BW94">
        <v>1</v>
      </c>
      <c r="CX94">
        <f>Y94*Source!I40</f>
        <v>0.075516</v>
      </c>
      <c r="CY94">
        <f>AB94</f>
        <v>157.72</v>
      </c>
      <c r="CZ94">
        <f>AF94</f>
        <v>157.72</v>
      </c>
      <c r="DA94">
        <f>AJ94</f>
        <v>1</v>
      </c>
      <c r="DB94">
        <v>0</v>
      </c>
    </row>
    <row r="95" spans="1:106" ht="12.75">
      <c r="A95">
        <f>ROW(Source!A40)</f>
        <v>40</v>
      </c>
      <c r="B95">
        <v>26994759</v>
      </c>
      <c r="C95">
        <v>26995046</v>
      </c>
      <c r="D95">
        <v>0</v>
      </c>
      <c r="E95">
        <v>0</v>
      </c>
      <c r="F95">
        <v>1</v>
      </c>
      <c r="G95">
        <v>1</v>
      </c>
      <c r="H95">
        <v>3</v>
      </c>
      <c r="K95" t="s">
        <v>442</v>
      </c>
      <c r="L95">
        <v>1348</v>
      </c>
      <c r="N95">
        <v>1009</v>
      </c>
      <c r="O95" t="s">
        <v>203</v>
      </c>
      <c r="P95" t="s">
        <v>203</v>
      </c>
      <c r="Q95">
        <v>1000</v>
      </c>
      <c r="W95">
        <v>0</v>
      </c>
      <c r="X95">
        <v>-2017564548</v>
      </c>
      <c r="Y95">
        <v>65.6</v>
      </c>
      <c r="AA95">
        <v>7118.64</v>
      </c>
      <c r="AB95">
        <v>0</v>
      </c>
      <c r="AC95">
        <v>0</v>
      </c>
      <c r="AD95">
        <v>0</v>
      </c>
      <c r="AE95">
        <v>7118.64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1</v>
      </c>
      <c r="AQ95">
        <v>1</v>
      </c>
      <c r="AR95">
        <v>0</v>
      </c>
      <c r="AT95">
        <v>65.6</v>
      </c>
      <c r="AV95">
        <v>0</v>
      </c>
      <c r="AW95">
        <v>1</v>
      </c>
      <c r="AX95">
        <v>-1</v>
      </c>
      <c r="AY95">
        <v>0</v>
      </c>
      <c r="AZ95">
        <v>0</v>
      </c>
      <c r="BB95">
        <v>1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466982.784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1</v>
      </c>
      <c r="BQ95">
        <v>466982.784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1</v>
      </c>
      <c r="CX95">
        <f>Y95*Source!I40</f>
        <v>0.13775999999999997</v>
      </c>
      <c r="CY95">
        <f>AA95</f>
        <v>7118.64</v>
      </c>
      <c r="CZ95">
        <f>AE95</f>
        <v>7118.64</v>
      </c>
      <c r="DA95">
        <f>AI95</f>
        <v>1</v>
      </c>
      <c r="DB95">
        <v>0</v>
      </c>
    </row>
    <row r="96" spans="1:106" ht="12.75">
      <c r="A96">
        <f>ROW(Source!A41)</f>
        <v>41</v>
      </c>
      <c r="B96">
        <v>26994759</v>
      </c>
      <c r="C96">
        <v>26995060</v>
      </c>
      <c r="D96">
        <v>9415493</v>
      </c>
      <c r="E96">
        <v>1</v>
      </c>
      <c r="F96">
        <v>1</v>
      </c>
      <c r="G96">
        <v>1</v>
      </c>
      <c r="H96">
        <v>1</v>
      </c>
      <c r="I96" t="s">
        <v>398</v>
      </c>
      <c r="K96" t="s">
        <v>399</v>
      </c>
      <c r="L96">
        <v>1369</v>
      </c>
      <c r="N96">
        <v>1013</v>
      </c>
      <c r="O96" t="s">
        <v>323</v>
      </c>
      <c r="P96" t="s">
        <v>323</v>
      </c>
      <c r="Q96">
        <v>1</v>
      </c>
      <c r="W96">
        <v>0</v>
      </c>
      <c r="X96">
        <v>1774247228</v>
      </c>
      <c r="Y96">
        <v>48.1</v>
      </c>
      <c r="AA96">
        <v>0</v>
      </c>
      <c r="AB96">
        <v>0</v>
      </c>
      <c r="AC96">
        <v>0</v>
      </c>
      <c r="AD96">
        <v>125.72</v>
      </c>
      <c r="AE96">
        <v>0</v>
      </c>
      <c r="AF96">
        <v>0</v>
      </c>
      <c r="AG96">
        <v>0</v>
      </c>
      <c r="AH96">
        <v>125.72</v>
      </c>
      <c r="AI96">
        <v>1</v>
      </c>
      <c r="AJ96">
        <v>1</v>
      </c>
      <c r="AK96">
        <v>1</v>
      </c>
      <c r="AL96">
        <v>1</v>
      </c>
      <c r="AN96">
        <v>0</v>
      </c>
      <c r="AO96">
        <v>0</v>
      </c>
      <c r="AP96">
        <v>1</v>
      </c>
      <c r="AQ96">
        <v>1</v>
      </c>
      <c r="AR96">
        <v>0</v>
      </c>
      <c r="AT96">
        <v>24.05</v>
      </c>
      <c r="AU96" t="s">
        <v>46</v>
      </c>
      <c r="AV96">
        <v>1</v>
      </c>
      <c r="AW96">
        <v>2</v>
      </c>
      <c r="AX96">
        <v>26995063</v>
      </c>
      <c r="AY96">
        <v>2</v>
      </c>
      <c r="AZ96">
        <v>131072</v>
      </c>
      <c r="BA96">
        <v>126</v>
      </c>
      <c r="BB96">
        <v>1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3023.5660000000003</v>
      </c>
      <c r="BN96">
        <v>24.05</v>
      </c>
      <c r="BO96">
        <v>0</v>
      </c>
      <c r="BP96">
        <v>1</v>
      </c>
      <c r="BQ96">
        <v>0</v>
      </c>
      <c r="BR96">
        <v>0</v>
      </c>
      <c r="BS96">
        <v>0</v>
      </c>
      <c r="BT96">
        <v>6047.1320000000005</v>
      </c>
      <c r="BU96">
        <v>48.1</v>
      </c>
      <c r="BV96">
        <v>0</v>
      </c>
      <c r="BW96">
        <v>1</v>
      </c>
      <c r="CX96">
        <f>Y96*Source!I41</f>
        <v>2.2607</v>
      </c>
      <c r="CY96">
        <f>AD96</f>
        <v>125.72</v>
      </c>
      <c r="CZ96">
        <f>AH96</f>
        <v>125.72</v>
      </c>
      <c r="DA96">
        <f>AL96</f>
        <v>1</v>
      </c>
      <c r="DB96">
        <v>0</v>
      </c>
    </row>
    <row r="97" spans="1:106" ht="12.75">
      <c r="A97">
        <f>ROW(Source!A41)</f>
        <v>41</v>
      </c>
      <c r="B97">
        <v>26994759</v>
      </c>
      <c r="C97">
        <v>26995060</v>
      </c>
      <c r="D97">
        <v>0</v>
      </c>
      <c r="E97">
        <v>0</v>
      </c>
      <c r="F97">
        <v>1</v>
      </c>
      <c r="G97">
        <v>1</v>
      </c>
      <c r="H97">
        <v>3</v>
      </c>
      <c r="K97" t="s">
        <v>467</v>
      </c>
      <c r="L97">
        <v>1348</v>
      </c>
      <c r="N97">
        <v>1009</v>
      </c>
      <c r="O97" t="s">
        <v>203</v>
      </c>
      <c r="P97" t="s">
        <v>203</v>
      </c>
      <c r="Q97">
        <v>1000</v>
      </c>
      <c r="W97">
        <v>0</v>
      </c>
      <c r="X97">
        <v>-1242880821</v>
      </c>
      <c r="Y97">
        <v>0.0809137055837564</v>
      </c>
      <c r="AA97">
        <v>15152.43</v>
      </c>
      <c r="AB97">
        <v>0</v>
      </c>
      <c r="AC97">
        <v>0</v>
      </c>
      <c r="AD97">
        <v>0</v>
      </c>
      <c r="AE97">
        <v>15152.43</v>
      </c>
      <c r="AF97">
        <v>0</v>
      </c>
      <c r="AG97">
        <v>0</v>
      </c>
      <c r="AH97">
        <v>0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1</v>
      </c>
      <c r="AQ97">
        <v>1</v>
      </c>
      <c r="AR97">
        <v>0</v>
      </c>
      <c r="AT97">
        <v>0.04045685279187817</v>
      </c>
      <c r="AU97" t="s">
        <v>46</v>
      </c>
      <c r="AV97">
        <v>0</v>
      </c>
      <c r="AW97">
        <v>1</v>
      </c>
      <c r="AX97">
        <v>-1</v>
      </c>
      <c r="AY97">
        <v>0</v>
      </c>
      <c r="AZ97">
        <v>0</v>
      </c>
      <c r="BB97">
        <v>1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613.0196299492385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1</v>
      </c>
      <c r="BQ97">
        <v>1226.0392598984781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1</v>
      </c>
      <c r="CX97">
        <f>Y97*Source!I41</f>
        <v>0.003802944162436551</v>
      </c>
      <c r="CY97">
        <f>AA97</f>
        <v>15152.43</v>
      </c>
      <c r="CZ97">
        <f>AE97</f>
        <v>15152.43</v>
      </c>
      <c r="DA97">
        <f>AI97</f>
        <v>1</v>
      </c>
      <c r="DB97">
        <v>0</v>
      </c>
    </row>
    <row r="98" spans="1:106" ht="12.75">
      <c r="A98">
        <f>ROW(Source!A42)</f>
        <v>42</v>
      </c>
      <c r="B98">
        <v>26994759</v>
      </c>
      <c r="C98">
        <v>26995071</v>
      </c>
      <c r="D98">
        <v>9415352</v>
      </c>
      <c r="E98">
        <v>1</v>
      </c>
      <c r="F98">
        <v>1</v>
      </c>
      <c r="G98">
        <v>1</v>
      </c>
      <c r="H98">
        <v>1</v>
      </c>
      <c r="I98" t="s">
        <v>387</v>
      </c>
      <c r="K98" t="s">
        <v>388</v>
      </c>
      <c r="L98">
        <v>1369</v>
      </c>
      <c r="N98">
        <v>1013</v>
      </c>
      <c r="O98" t="s">
        <v>323</v>
      </c>
      <c r="P98" t="s">
        <v>323</v>
      </c>
      <c r="Q98">
        <v>1</v>
      </c>
      <c r="W98">
        <v>0</v>
      </c>
      <c r="X98">
        <v>-1673341983</v>
      </c>
      <c r="Y98">
        <v>18.767999999999997</v>
      </c>
      <c r="AA98">
        <v>0</v>
      </c>
      <c r="AB98">
        <v>0</v>
      </c>
      <c r="AC98">
        <v>0</v>
      </c>
      <c r="AD98">
        <v>141.83</v>
      </c>
      <c r="AE98">
        <v>0</v>
      </c>
      <c r="AF98">
        <v>0</v>
      </c>
      <c r="AG98">
        <v>0</v>
      </c>
      <c r="AH98">
        <v>141.83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1</v>
      </c>
      <c r="AQ98">
        <v>1</v>
      </c>
      <c r="AR98">
        <v>0</v>
      </c>
      <c r="AT98">
        <v>16.32</v>
      </c>
      <c r="AU98" t="s">
        <v>18</v>
      </c>
      <c r="AV98">
        <v>1</v>
      </c>
      <c r="AW98">
        <v>2</v>
      </c>
      <c r="AX98">
        <v>26995077</v>
      </c>
      <c r="AY98">
        <v>2</v>
      </c>
      <c r="AZ98">
        <v>131072</v>
      </c>
      <c r="BA98">
        <v>134</v>
      </c>
      <c r="BB98">
        <v>1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2314.6656000000003</v>
      </c>
      <c r="BN98">
        <v>16.32</v>
      </c>
      <c r="BO98">
        <v>0</v>
      </c>
      <c r="BP98">
        <v>1</v>
      </c>
      <c r="BQ98">
        <v>0</v>
      </c>
      <c r="BR98">
        <v>0</v>
      </c>
      <c r="BS98">
        <v>0</v>
      </c>
      <c r="BT98">
        <v>2661.86544</v>
      </c>
      <c r="BU98">
        <v>18.767999999999997</v>
      </c>
      <c r="BV98">
        <v>0</v>
      </c>
      <c r="BW98">
        <v>1</v>
      </c>
      <c r="CX98">
        <f>Y98*Source!I42</f>
        <v>0.8820959999999999</v>
      </c>
      <c r="CY98">
        <f>AD98</f>
        <v>141.83</v>
      </c>
      <c r="CZ98">
        <f>AH98</f>
        <v>141.83</v>
      </c>
      <c r="DA98">
        <f>AL98</f>
        <v>1</v>
      </c>
      <c r="DB98">
        <v>0</v>
      </c>
    </row>
    <row r="99" spans="1:106" ht="12.75">
      <c r="A99">
        <f>ROW(Source!A42)</f>
        <v>42</v>
      </c>
      <c r="B99">
        <v>26994759</v>
      </c>
      <c r="C99">
        <v>26995071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26</v>
      </c>
      <c r="K99" t="s">
        <v>358</v>
      </c>
      <c r="L99">
        <v>608254</v>
      </c>
      <c r="N99">
        <v>1013</v>
      </c>
      <c r="O99" t="s">
        <v>359</v>
      </c>
      <c r="P99" t="s">
        <v>359</v>
      </c>
      <c r="Q99">
        <v>1</v>
      </c>
      <c r="W99">
        <v>0</v>
      </c>
      <c r="X99">
        <v>-185737400</v>
      </c>
      <c r="Y99">
        <v>0.0125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1</v>
      </c>
      <c r="AQ99">
        <v>1</v>
      </c>
      <c r="AR99">
        <v>0</v>
      </c>
      <c r="AT99">
        <v>0.01</v>
      </c>
      <c r="AU99" t="s">
        <v>17</v>
      </c>
      <c r="AV99">
        <v>2</v>
      </c>
      <c r="AW99">
        <v>2</v>
      </c>
      <c r="AX99">
        <v>26995078</v>
      </c>
      <c r="AY99">
        <v>1</v>
      </c>
      <c r="AZ99">
        <v>0</v>
      </c>
      <c r="BA99">
        <v>135</v>
      </c>
      <c r="BB99">
        <v>1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0.01</v>
      </c>
      <c r="BP99">
        <v>1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0.0125</v>
      </c>
      <c r="BW99">
        <v>1</v>
      </c>
      <c r="CX99">
        <f>Y99*Source!I42</f>
        <v>0.0005875</v>
      </c>
      <c r="CY99">
        <f>AD99</f>
        <v>0</v>
      </c>
      <c r="CZ99">
        <f>AH99</f>
        <v>0</v>
      </c>
      <c r="DA99">
        <f>AL99</f>
        <v>1</v>
      </c>
      <c r="DB99">
        <v>0</v>
      </c>
    </row>
    <row r="100" spans="1:106" ht="12.75">
      <c r="A100">
        <f>ROW(Source!A42)</f>
        <v>42</v>
      </c>
      <c r="B100">
        <v>26994759</v>
      </c>
      <c r="C100">
        <v>26995071</v>
      </c>
      <c r="D100">
        <v>21330172</v>
      </c>
      <c r="E100">
        <v>1</v>
      </c>
      <c r="F100">
        <v>1</v>
      </c>
      <c r="G100">
        <v>1</v>
      </c>
      <c r="H100">
        <v>2</v>
      </c>
      <c r="I100" t="s">
        <v>389</v>
      </c>
      <c r="J100" t="s">
        <v>410</v>
      </c>
      <c r="K100" t="s">
        <v>391</v>
      </c>
      <c r="L100">
        <v>1368</v>
      </c>
      <c r="N100">
        <v>1011</v>
      </c>
      <c r="O100" t="s">
        <v>327</v>
      </c>
      <c r="P100" t="s">
        <v>327</v>
      </c>
      <c r="Q100">
        <v>1</v>
      </c>
      <c r="W100">
        <v>0</v>
      </c>
      <c r="X100">
        <v>-1365545508</v>
      </c>
      <c r="Y100">
        <v>0.0125</v>
      </c>
      <c r="AA100">
        <v>0</v>
      </c>
      <c r="AB100">
        <v>246.77</v>
      </c>
      <c r="AC100">
        <v>0</v>
      </c>
      <c r="AD100">
        <v>0</v>
      </c>
      <c r="AE100">
        <v>0</v>
      </c>
      <c r="AF100">
        <v>246.77</v>
      </c>
      <c r="AG100">
        <v>0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1</v>
      </c>
      <c r="AQ100">
        <v>1</v>
      </c>
      <c r="AR100">
        <v>0</v>
      </c>
      <c r="AT100">
        <v>0.01</v>
      </c>
      <c r="AU100" t="s">
        <v>17</v>
      </c>
      <c r="AV100">
        <v>0</v>
      </c>
      <c r="AW100">
        <v>2</v>
      </c>
      <c r="AX100">
        <v>26995079</v>
      </c>
      <c r="AY100">
        <v>2</v>
      </c>
      <c r="AZ100">
        <v>98304</v>
      </c>
      <c r="BA100">
        <v>136</v>
      </c>
      <c r="BB100">
        <v>1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2.4677000000000002</v>
      </c>
      <c r="BL100">
        <v>0</v>
      </c>
      <c r="BM100">
        <v>0</v>
      </c>
      <c r="BN100">
        <v>0</v>
      </c>
      <c r="BO100">
        <v>0</v>
      </c>
      <c r="BP100">
        <v>1</v>
      </c>
      <c r="BQ100">
        <v>0</v>
      </c>
      <c r="BR100">
        <v>3.0846250000000004</v>
      </c>
      <c r="BS100">
        <v>0</v>
      </c>
      <c r="BT100">
        <v>0</v>
      </c>
      <c r="BU100">
        <v>0</v>
      </c>
      <c r="BV100">
        <v>0</v>
      </c>
      <c r="BW100">
        <v>1</v>
      </c>
      <c r="CX100">
        <f>Y100*Source!I42</f>
        <v>0.0005875</v>
      </c>
      <c r="CY100">
        <f>AB100</f>
        <v>246.77</v>
      </c>
      <c r="CZ100">
        <f>AF100</f>
        <v>246.77</v>
      </c>
      <c r="DA100">
        <f>AJ100</f>
        <v>1</v>
      </c>
      <c r="DB100">
        <v>0</v>
      </c>
    </row>
    <row r="101" spans="1:106" ht="12.75">
      <c r="A101">
        <f>ROW(Source!A42)</f>
        <v>42</v>
      </c>
      <c r="B101">
        <v>26994759</v>
      </c>
      <c r="C101">
        <v>26995071</v>
      </c>
      <c r="D101">
        <v>21320836</v>
      </c>
      <c r="E101">
        <v>1</v>
      </c>
      <c r="F101">
        <v>1</v>
      </c>
      <c r="G101">
        <v>1</v>
      </c>
      <c r="H101">
        <v>3</v>
      </c>
      <c r="I101" t="s">
        <v>392</v>
      </c>
      <c r="J101" t="s">
        <v>411</v>
      </c>
      <c r="K101" t="s">
        <v>394</v>
      </c>
      <c r="L101">
        <v>1346</v>
      </c>
      <c r="N101">
        <v>1009</v>
      </c>
      <c r="O101" t="s">
        <v>341</v>
      </c>
      <c r="P101" t="s">
        <v>341</v>
      </c>
      <c r="Q101">
        <v>1</v>
      </c>
      <c r="W101">
        <v>0</v>
      </c>
      <c r="X101">
        <v>371875709</v>
      </c>
      <c r="Y101">
        <v>0.2</v>
      </c>
      <c r="AA101">
        <v>52.32</v>
      </c>
      <c r="AB101">
        <v>0</v>
      </c>
      <c r="AC101">
        <v>0</v>
      </c>
      <c r="AD101">
        <v>0</v>
      </c>
      <c r="AE101">
        <v>52.32</v>
      </c>
      <c r="AF101">
        <v>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1</v>
      </c>
      <c r="AQ101">
        <v>1</v>
      </c>
      <c r="AR101">
        <v>0</v>
      </c>
      <c r="AT101">
        <v>0.2</v>
      </c>
      <c r="AV101">
        <v>0</v>
      </c>
      <c r="AW101">
        <v>2</v>
      </c>
      <c r="AX101">
        <v>26995081</v>
      </c>
      <c r="AY101">
        <v>2</v>
      </c>
      <c r="AZ101">
        <v>16384</v>
      </c>
      <c r="BA101">
        <v>138</v>
      </c>
      <c r="BB101">
        <v>1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10.464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1</v>
      </c>
      <c r="BQ101">
        <v>10.464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1</v>
      </c>
      <c r="CX101">
        <f>Y101*Source!I42</f>
        <v>0.0094</v>
      </c>
      <c r="CY101">
        <f>AA101</f>
        <v>52.32</v>
      </c>
      <c r="CZ101">
        <f>AE101</f>
        <v>52.32</v>
      </c>
      <c r="DA101">
        <f>AI101</f>
        <v>1</v>
      </c>
      <c r="DB101">
        <v>0</v>
      </c>
    </row>
    <row r="102" spans="1:106" ht="12.75">
      <c r="A102">
        <f>ROW(Source!A42)</f>
        <v>42</v>
      </c>
      <c r="B102">
        <v>26994759</v>
      </c>
      <c r="C102">
        <v>26995071</v>
      </c>
      <c r="D102">
        <v>21345267</v>
      </c>
      <c r="E102">
        <v>1</v>
      </c>
      <c r="F102">
        <v>1</v>
      </c>
      <c r="G102">
        <v>1</v>
      </c>
      <c r="H102">
        <v>3</v>
      </c>
      <c r="I102" t="s">
        <v>395</v>
      </c>
      <c r="J102" t="s">
        <v>412</v>
      </c>
      <c r="K102" t="s">
        <v>397</v>
      </c>
      <c r="L102">
        <v>1348</v>
      </c>
      <c r="N102">
        <v>1009</v>
      </c>
      <c r="O102" t="s">
        <v>203</v>
      </c>
      <c r="P102" t="s">
        <v>203</v>
      </c>
      <c r="Q102">
        <v>1000</v>
      </c>
      <c r="W102">
        <v>0</v>
      </c>
      <c r="X102">
        <v>-1698187799</v>
      </c>
      <c r="Y102">
        <v>0.02</v>
      </c>
      <c r="AA102">
        <v>35593.22</v>
      </c>
      <c r="AB102">
        <v>0</v>
      </c>
      <c r="AC102">
        <v>0</v>
      </c>
      <c r="AD102">
        <v>0</v>
      </c>
      <c r="AE102">
        <v>35593.22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1</v>
      </c>
      <c r="AR102">
        <v>0</v>
      </c>
      <c r="AT102">
        <v>0.02</v>
      </c>
      <c r="AV102">
        <v>0</v>
      </c>
      <c r="AW102">
        <v>2</v>
      </c>
      <c r="AX102">
        <v>26995082</v>
      </c>
      <c r="AY102">
        <v>2</v>
      </c>
      <c r="AZ102">
        <v>16384</v>
      </c>
      <c r="BA102">
        <v>139</v>
      </c>
      <c r="BB102">
        <v>1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711.8644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1</v>
      </c>
      <c r="BQ102">
        <v>711.8644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1</v>
      </c>
      <c r="CX102">
        <f>Y102*Source!I42</f>
        <v>0.00094</v>
      </c>
      <c r="CY102">
        <f>AA102</f>
        <v>35593.22</v>
      </c>
      <c r="CZ102">
        <f>AE102</f>
        <v>35593.22</v>
      </c>
      <c r="DA102">
        <f>AI102</f>
        <v>1</v>
      </c>
      <c r="DB102">
        <v>0</v>
      </c>
    </row>
    <row r="103" spans="1:106" ht="12.75">
      <c r="A103">
        <f>ROW(Source!A43)</f>
        <v>43</v>
      </c>
      <c r="B103">
        <v>26994759</v>
      </c>
      <c r="C103">
        <v>27030184</v>
      </c>
      <c r="D103">
        <v>9415493</v>
      </c>
      <c r="E103">
        <v>1</v>
      </c>
      <c r="F103">
        <v>1</v>
      </c>
      <c r="G103">
        <v>1</v>
      </c>
      <c r="H103">
        <v>1</v>
      </c>
      <c r="I103" t="s">
        <v>398</v>
      </c>
      <c r="K103" t="s">
        <v>399</v>
      </c>
      <c r="L103">
        <v>1369</v>
      </c>
      <c r="N103">
        <v>1013</v>
      </c>
      <c r="O103" t="s">
        <v>323</v>
      </c>
      <c r="P103" t="s">
        <v>323</v>
      </c>
      <c r="Q103">
        <v>1</v>
      </c>
      <c r="W103">
        <v>0</v>
      </c>
      <c r="X103">
        <v>1774247228</v>
      </c>
      <c r="Y103">
        <v>24.3685</v>
      </c>
      <c r="AA103">
        <v>0</v>
      </c>
      <c r="AB103">
        <v>0</v>
      </c>
      <c r="AC103">
        <v>0</v>
      </c>
      <c r="AD103">
        <v>125.72</v>
      </c>
      <c r="AE103">
        <v>0</v>
      </c>
      <c r="AF103">
        <v>0</v>
      </c>
      <c r="AG103">
        <v>0</v>
      </c>
      <c r="AH103">
        <v>125.72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1</v>
      </c>
      <c r="AQ103">
        <v>1</v>
      </c>
      <c r="AR103">
        <v>0</v>
      </c>
      <c r="AT103">
        <v>21.19</v>
      </c>
      <c r="AU103" t="s">
        <v>18</v>
      </c>
      <c r="AV103">
        <v>1</v>
      </c>
      <c r="AW103">
        <v>2</v>
      </c>
      <c r="AX103">
        <v>27030185</v>
      </c>
      <c r="AY103">
        <v>2</v>
      </c>
      <c r="AZ103">
        <v>131072</v>
      </c>
      <c r="BA103">
        <v>140</v>
      </c>
      <c r="BB103">
        <v>1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2664.0068</v>
      </c>
      <c r="BN103">
        <v>21.19</v>
      </c>
      <c r="BO103">
        <v>0</v>
      </c>
      <c r="BP103">
        <v>1</v>
      </c>
      <c r="BQ103">
        <v>0</v>
      </c>
      <c r="BR103">
        <v>0</v>
      </c>
      <c r="BS103">
        <v>0</v>
      </c>
      <c r="BT103">
        <v>3063.60782</v>
      </c>
      <c r="BU103">
        <v>24.3685</v>
      </c>
      <c r="BV103">
        <v>0</v>
      </c>
      <c r="BW103">
        <v>1</v>
      </c>
      <c r="CX103">
        <f>Y103*Source!I43</f>
        <v>1.0965825</v>
      </c>
      <c r="CY103">
        <f>AD103</f>
        <v>125.72</v>
      </c>
      <c r="CZ103">
        <f>AH103</f>
        <v>125.72</v>
      </c>
      <c r="DA103">
        <f>AL103</f>
        <v>1</v>
      </c>
      <c r="DB103">
        <v>0</v>
      </c>
    </row>
    <row r="104" spans="1:106" ht="12.75">
      <c r="A104">
        <f>ROW(Source!A43)</f>
        <v>43</v>
      </c>
      <c r="B104">
        <v>26994759</v>
      </c>
      <c r="C104">
        <v>27030184</v>
      </c>
      <c r="D104">
        <v>121548</v>
      </c>
      <c r="E104">
        <v>1</v>
      </c>
      <c r="F104">
        <v>1</v>
      </c>
      <c r="G104">
        <v>1</v>
      </c>
      <c r="H104">
        <v>1</v>
      </c>
      <c r="I104" t="s">
        <v>26</v>
      </c>
      <c r="K104" t="s">
        <v>358</v>
      </c>
      <c r="L104">
        <v>608254</v>
      </c>
      <c r="N104">
        <v>1013</v>
      </c>
      <c r="O104" t="s">
        <v>359</v>
      </c>
      <c r="P104" t="s">
        <v>359</v>
      </c>
      <c r="Q104">
        <v>1</v>
      </c>
      <c r="W104">
        <v>0</v>
      </c>
      <c r="X104">
        <v>-185737400</v>
      </c>
      <c r="Y104">
        <v>0.05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1</v>
      </c>
      <c r="AQ104">
        <v>1</v>
      </c>
      <c r="AR104">
        <v>0</v>
      </c>
      <c r="AT104">
        <v>0.04</v>
      </c>
      <c r="AU104" t="s">
        <v>17</v>
      </c>
      <c r="AV104">
        <v>2</v>
      </c>
      <c r="AW104">
        <v>2</v>
      </c>
      <c r="AX104">
        <v>27030186</v>
      </c>
      <c r="AY104">
        <v>1</v>
      </c>
      <c r="AZ104">
        <v>0</v>
      </c>
      <c r="BA104">
        <v>141</v>
      </c>
      <c r="BB104">
        <v>1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0.04</v>
      </c>
      <c r="BP104">
        <v>1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0.05</v>
      </c>
      <c r="BW104">
        <v>1</v>
      </c>
      <c r="CX104">
        <f>Y104*Source!I43</f>
        <v>0.00225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ht="12.75">
      <c r="A105">
        <f>ROW(Source!A43)</f>
        <v>43</v>
      </c>
      <c r="B105">
        <v>26994759</v>
      </c>
      <c r="C105">
        <v>27030184</v>
      </c>
      <c r="D105">
        <v>21330172</v>
      </c>
      <c r="E105">
        <v>1</v>
      </c>
      <c r="F105">
        <v>1</v>
      </c>
      <c r="G105">
        <v>1</v>
      </c>
      <c r="H105">
        <v>2</v>
      </c>
      <c r="I105" t="s">
        <v>389</v>
      </c>
      <c r="J105" t="s">
        <v>410</v>
      </c>
      <c r="K105" t="s">
        <v>391</v>
      </c>
      <c r="L105">
        <v>1368</v>
      </c>
      <c r="N105">
        <v>1011</v>
      </c>
      <c r="O105" t="s">
        <v>327</v>
      </c>
      <c r="P105" t="s">
        <v>327</v>
      </c>
      <c r="Q105">
        <v>1</v>
      </c>
      <c r="W105">
        <v>0</v>
      </c>
      <c r="X105">
        <v>-1365545508</v>
      </c>
      <c r="Y105">
        <v>0.05</v>
      </c>
      <c r="AA105">
        <v>0</v>
      </c>
      <c r="AB105">
        <v>246.77</v>
      </c>
      <c r="AC105">
        <v>0</v>
      </c>
      <c r="AD105">
        <v>0</v>
      </c>
      <c r="AE105">
        <v>0</v>
      </c>
      <c r="AF105">
        <v>246.77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0</v>
      </c>
      <c r="AP105">
        <v>1</v>
      </c>
      <c r="AQ105">
        <v>1</v>
      </c>
      <c r="AR105">
        <v>0</v>
      </c>
      <c r="AT105">
        <v>0.04</v>
      </c>
      <c r="AU105" t="s">
        <v>17</v>
      </c>
      <c r="AV105">
        <v>0</v>
      </c>
      <c r="AW105">
        <v>2</v>
      </c>
      <c r="AX105">
        <v>27030187</v>
      </c>
      <c r="AY105">
        <v>2</v>
      </c>
      <c r="AZ105">
        <v>98304</v>
      </c>
      <c r="BA105">
        <v>142</v>
      </c>
      <c r="BB105">
        <v>1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9.870800000000001</v>
      </c>
      <c r="BL105">
        <v>0</v>
      </c>
      <c r="BM105">
        <v>0</v>
      </c>
      <c r="BN105">
        <v>0</v>
      </c>
      <c r="BO105">
        <v>0</v>
      </c>
      <c r="BP105">
        <v>1</v>
      </c>
      <c r="BQ105">
        <v>0</v>
      </c>
      <c r="BR105">
        <v>12.338500000000002</v>
      </c>
      <c r="BS105">
        <v>0</v>
      </c>
      <c r="BT105">
        <v>0</v>
      </c>
      <c r="BU105">
        <v>0</v>
      </c>
      <c r="BV105">
        <v>0</v>
      </c>
      <c r="BW105">
        <v>1</v>
      </c>
      <c r="CX105">
        <f>Y105*Source!I43</f>
        <v>0.00225</v>
      </c>
      <c r="CY105">
        <f>AB105</f>
        <v>246.77</v>
      </c>
      <c r="CZ105">
        <f>AF105</f>
        <v>246.77</v>
      </c>
      <c r="DA105">
        <f>AJ105</f>
        <v>1</v>
      </c>
      <c r="DB105">
        <v>0</v>
      </c>
    </row>
    <row r="106" spans="1:106" ht="12.75">
      <c r="A106">
        <f>ROW(Source!A43)</f>
        <v>43</v>
      </c>
      <c r="B106">
        <v>26994759</v>
      </c>
      <c r="C106">
        <v>27030184</v>
      </c>
      <c r="D106">
        <v>21280770</v>
      </c>
      <c r="E106">
        <v>1</v>
      </c>
      <c r="F106">
        <v>1</v>
      </c>
      <c r="G106">
        <v>1</v>
      </c>
      <c r="H106">
        <v>2</v>
      </c>
      <c r="I106" t="s">
        <v>371</v>
      </c>
      <c r="J106" t="s">
        <v>458</v>
      </c>
      <c r="K106" t="s">
        <v>373</v>
      </c>
      <c r="L106">
        <v>1368</v>
      </c>
      <c r="N106">
        <v>1011</v>
      </c>
      <c r="O106" t="s">
        <v>327</v>
      </c>
      <c r="P106" t="s">
        <v>327</v>
      </c>
      <c r="Q106">
        <v>1</v>
      </c>
      <c r="W106">
        <v>0</v>
      </c>
      <c r="X106">
        <v>-516600551</v>
      </c>
      <c r="Y106">
        <v>0.1875</v>
      </c>
      <c r="AA106">
        <v>0</v>
      </c>
      <c r="AB106">
        <v>691.3</v>
      </c>
      <c r="AC106">
        <v>0</v>
      </c>
      <c r="AD106">
        <v>0</v>
      </c>
      <c r="AE106">
        <v>0</v>
      </c>
      <c r="AF106">
        <v>691.3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0</v>
      </c>
      <c r="AP106">
        <v>1</v>
      </c>
      <c r="AQ106">
        <v>1</v>
      </c>
      <c r="AR106">
        <v>0</v>
      </c>
      <c r="AT106">
        <v>0.15</v>
      </c>
      <c r="AU106" t="s">
        <v>17</v>
      </c>
      <c r="AV106">
        <v>0</v>
      </c>
      <c r="AW106">
        <v>2</v>
      </c>
      <c r="AX106">
        <v>27030188</v>
      </c>
      <c r="AY106">
        <v>2</v>
      </c>
      <c r="AZ106">
        <v>98304</v>
      </c>
      <c r="BA106">
        <v>143</v>
      </c>
      <c r="BB106">
        <v>1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103.695</v>
      </c>
      <c r="BL106">
        <v>0</v>
      </c>
      <c r="BM106">
        <v>0</v>
      </c>
      <c r="BN106">
        <v>0</v>
      </c>
      <c r="BO106">
        <v>0</v>
      </c>
      <c r="BP106">
        <v>1</v>
      </c>
      <c r="BQ106">
        <v>0</v>
      </c>
      <c r="BR106">
        <v>129.61874999999998</v>
      </c>
      <c r="BS106">
        <v>0</v>
      </c>
      <c r="BT106">
        <v>0</v>
      </c>
      <c r="BU106">
        <v>0</v>
      </c>
      <c r="BV106">
        <v>0</v>
      </c>
      <c r="BW106">
        <v>1</v>
      </c>
      <c r="CX106">
        <f>Y106*Source!I43</f>
        <v>0.0084375</v>
      </c>
      <c r="CY106">
        <f>AB106</f>
        <v>691.3</v>
      </c>
      <c r="CZ106">
        <f>AF106</f>
        <v>691.3</v>
      </c>
      <c r="DA106">
        <f>AJ106</f>
        <v>1</v>
      </c>
      <c r="DB106">
        <v>0</v>
      </c>
    </row>
    <row r="107" spans="1:106" ht="12.75">
      <c r="A107">
        <f>ROW(Source!A43)</f>
        <v>43</v>
      </c>
      <c r="B107">
        <v>26994759</v>
      </c>
      <c r="C107">
        <v>27030184</v>
      </c>
      <c r="D107">
        <v>21343279</v>
      </c>
      <c r="E107">
        <v>1</v>
      </c>
      <c r="F107">
        <v>1</v>
      </c>
      <c r="G107">
        <v>1</v>
      </c>
      <c r="H107">
        <v>3</v>
      </c>
      <c r="I107" t="s">
        <v>468</v>
      </c>
      <c r="J107" t="s">
        <v>469</v>
      </c>
      <c r="K107" t="s">
        <v>470</v>
      </c>
      <c r="L107">
        <v>1354</v>
      </c>
      <c r="N107">
        <v>1010</v>
      </c>
      <c r="O107" t="s">
        <v>352</v>
      </c>
      <c r="P107" t="s">
        <v>352</v>
      </c>
      <c r="Q107">
        <v>1</v>
      </c>
      <c r="W107">
        <v>0</v>
      </c>
      <c r="X107">
        <v>311830638</v>
      </c>
      <c r="Y107">
        <v>56.6</v>
      </c>
      <c r="AA107">
        <v>279.66</v>
      </c>
      <c r="AB107">
        <v>0</v>
      </c>
      <c r="AC107">
        <v>0</v>
      </c>
      <c r="AD107">
        <v>0</v>
      </c>
      <c r="AE107">
        <v>279.66</v>
      </c>
      <c r="AF107">
        <v>0</v>
      </c>
      <c r="AG107">
        <v>0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0</v>
      </c>
      <c r="AP107">
        <v>0</v>
      </c>
      <c r="AQ107">
        <v>1</v>
      </c>
      <c r="AR107">
        <v>0</v>
      </c>
      <c r="AT107">
        <v>56.6</v>
      </c>
      <c r="AV107">
        <v>0</v>
      </c>
      <c r="AW107">
        <v>2</v>
      </c>
      <c r="AX107">
        <v>27030189</v>
      </c>
      <c r="AY107">
        <v>2</v>
      </c>
      <c r="AZ107">
        <v>16384</v>
      </c>
      <c r="BA107">
        <v>144</v>
      </c>
      <c r="BB107">
        <v>1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15828.756000000001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1</v>
      </c>
      <c r="BQ107">
        <v>15828.756000000001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1</v>
      </c>
      <c r="CX107">
        <f>Y107*Source!I43</f>
        <v>2.547</v>
      </c>
      <c r="CY107">
        <f>AA107</f>
        <v>279.66</v>
      </c>
      <c r="CZ107">
        <f>AE107</f>
        <v>279.66</v>
      </c>
      <c r="DA107">
        <f>AI107</f>
        <v>1</v>
      </c>
      <c r="DB107">
        <v>0</v>
      </c>
    </row>
    <row r="108" spans="1:106" ht="12.75">
      <c r="A108">
        <f>ROW(Source!A43)</f>
        <v>43</v>
      </c>
      <c r="B108">
        <v>26994759</v>
      </c>
      <c r="C108">
        <v>27030184</v>
      </c>
      <c r="D108">
        <v>21343388</v>
      </c>
      <c r="E108">
        <v>1</v>
      </c>
      <c r="F108">
        <v>1</v>
      </c>
      <c r="G108">
        <v>1</v>
      </c>
      <c r="H108">
        <v>3</v>
      </c>
      <c r="I108" t="s">
        <v>471</v>
      </c>
      <c r="J108" t="s">
        <v>472</v>
      </c>
      <c r="K108" t="s">
        <v>473</v>
      </c>
      <c r="L108">
        <v>1301</v>
      </c>
      <c r="N108">
        <v>1003</v>
      </c>
      <c r="O108" t="s">
        <v>337</v>
      </c>
      <c r="P108" t="s">
        <v>337</v>
      </c>
      <c r="Q108">
        <v>1</v>
      </c>
      <c r="W108">
        <v>0</v>
      </c>
      <c r="X108">
        <v>-2090815439</v>
      </c>
      <c r="Y108">
        <v>105</v>
      </c>
      <c r="AA108">
        <v>366.1</v>
      </c>
      <c r="AB108">
        <v>0</v>
      </c>
      <c r="AC108">
        <v>0</v>
      </c>
      <c r="AD108">
        <v>0</v>
      </c>
      <c r="AE108">
        <v>366.1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1</v>
      </c>
      <c r="AO108">
        <v>0</v>
      </c>
      <c r="AP108">
        <v>0</v>
      </c>
      <c r="AQ108">
        <v>1</v>
      </c>
      <c r="AR108">
        <v>0</v>
      </c>
      <c r="AT108">
        <v>105</v>
      </c>
      <c r="AV108">
        <v>0</v>
      </c>
      <c r="AW108">
        <v>2</v>
      </c>
      <c r="AX108">
        <v>27030190</v>
      </c>
      <c r="AY108">
        <v>2</v>
      </c>
      <c r="AZ108">
        <v>22528</v>
      </c>
      <c r="BA108">
        <v>145</v>
      </c>
      <c r="BB108">
        <v>1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38440.5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1</v>
      </c>
      <c r="BQ108">
        <v>38440.5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1</v>
      </c>
      <c r="CX108">
        <f>Y108*Source!I43</f>
        <v>4.725</v>
      </c>
      <c r="CY108">
        <f>AA108</f>
        <v>366.1</v>
      </c>
      <c r="CZ108">
        <f>AE108</f>
        <v>366.1</v>
      </c>
      <c r="DA108">
        <f>AI108</f>
        <v>1</v>
      </c>
      <c r="DB108">
        <v>0</v>
      </c>
    </row>
    <row r="109" spans="1:106" ht="12.75">
      <c r="A109">
        <f>ROW(Source!A43)</f>
        <v>43</v>
      </c>
      <c r="B109">
        <v>26994759</v>
      </c>
      <c r="C109">
        <v>27030184</v>
      </c>
      <c r="D109">
        <v>21343281</v>
      </c>
      <c r="E109">
        <v>1</v>
      </c>
      <c r="F109">
        <v>1</v>
      </c>
      <c r="G109">
        <v>1</v>
      </c>
      <c r="H109">
        <v>3</v>
      </c>
      <c r="I109" t="s">
        <v>474</v>
      </c>
      <c r="J109" t="s">
        <v>475</v>
      </c>
      <c r="K109" t="s">
        <v>476</v>
      </c>
      <c r="L109">
        <v>1354</v>
      </c>
      <c r="N109">
        <v>1010</v>
      </c>
      <c r="O109" t="s">
        <v>352</v>
      </c>
      <c r="P109" t="s">
        <v>352</v>
      </c>
      <c r="Q109">
        <v>1</v>
      </c>
      <c r="W109">
        <v>0</v>
      </c>
      <c r="X109">
        <v>-291895599</v>
      </c>
      <c r="Y109">
        <v>400</v>
      </c>
      <c r="AA109">
        <v>0.5</v>
      </c>
      <c r="AB109">
        <v>0</v>
      </c>
      <c r="AC109">
        <v>0</v>
      </c>
      <c r="AD109">
        <v>0</v>
      </c>
      <c r="AE109">
        <v>0.5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0</v>
      </c>
      <c r="AQ109">
        <v>1</v>
      </c>
      <c r="AR109">
        <v>0</v>
      </c>
      <c r="AT109">
        <v>400</v>
      </c>
      <c r="AV109">
        <v>0</v>
      </c>
      <c r="AW109">
        <v>2</v>
      </c>
      <c r="AX109">
        <v>27030191</v>
      </c>
      <c r="AY109">
        <v>1</v>
      </c>
      <c r="AZ109">
        <v>0</v>
      </c>
      <c r="BA109">
        <v>146</v>
      </c>
      <c r="BB109">
        <v>1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200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1</v>
      </c>
      <c r="BQ109">
        <v>200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1</v>
      </c>
      <c r="CX109">
        <f>Y109*Source!I43</f>
        <v>18</v>
      </c>
      <c r="CY109">
        <f>AA109</f>
        <v>0.5</v>
      </c>
      <c r="CZ109">
        <f>AE109</f>
        <v>0.5</v>
      </c>
      <c r="DA109">
        <f>AI109</f>
        <v>1</v>
      </c>
      <c r="DB109">
        <v>0</v>
      </c>
    </row>
    <row r="110" spans="1:106" ht="12.75">
      <c r="A110">
        <f>ROW(Source!A44)</f>
        <v>44</v>
      </c>
      <c r="B110">
        <v>26994759</v>
      </c>
      <c r="C110">
        <v>27030192</v>
      </c>
      <c r="D110">
        <v>9416104</v>
      </c>
      <c r="E110">
        <v>1</v>
      </c>
      <c r="F110">
        <v>1</v>
      </c>
      <c r="G110">
        <v>1</v>
      </c>
      <c r="H110">
        <v>1</v>
      </c>
      <c r="I110" t="s">
        <v>400</v>
      </c>
      <c r="K110" t="s">
        <v>401</v>
      </c>
      <c r="L110">
        <v>1369</v>
      </c>
      <c r="N110">
        <v>1013</v>
      </c>
      <c r="O110" t="s">
        <v>323</v>
      </c>
      <c r="P110" t="s">
        <v>323</v>
      </c>
      <c r="Q110">
        <v>1</v>
      </c>
      <c r="W110">
        <v>0</v>
      </c>
      <c r="X110">
        <v>1343512101</v>
      </c>
      <c r="Y110">
        <v>19.481</v>
      </c>
      <c r="AA110">
        <v>0</v>
      </c>
      <c r="AB110">
        <v>0</v>
      </c>
      <c r="AC110">
        <v>0</v>
      </c>
      <c r="AD110">
        <v>132.29</v>
      </c>
      <c r="AE110">
        <v>0</v>
      </c>
      <c r="AF110">
        <v>0</v>
      </c>
      <c r="AG110">
        <v>0</v>
      </c>
      <c r="AH110">
        <v>132.29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1</v>
      </c>
      <c r="AQ110">
        <v>1</v>
      </c>
      <c r="AR110">
        <v>0</v>
      </c>
      <c r="AT110">
        <v>16.94</v>
      </c>
      <c r="AU110" t="s">
        <v>18</v>
      </c>
      <c r="AV110">
        <v>1</v>
      </c>
      <c r="AW110">
        <v>2</v>
      </c>
      <c r="AX110">
        <v>27030201</v>
      </c>
      <c r="AY110">
        <v>2</v>
      </c>
      <c r="AZ110">
        <v>131072</v>
      </c>
      <c r="BA110">
        <v>147</v>
      </c>
      <c r="BB110">
        <v>1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2240.9926</v>
      </c>
      <c r="BN110">
        <v>16.94</v>
      </c>
      <c r="BO110">
        <v>0</v>
      </c>
      <c r="BP110">
        <v>1</v>
      </c>
      <c r="BQ110">
        <v>0</v>
      </c>
      <c r="BR110">
        <v>0</v>
      </c>
      <c r="BS110">
        <v>0</v>
      </c>
      <c r="BT110">
        <v>2577.14149</v>
      </c>
      <c r="BU110">
        <v>19.481</v>
      </c>
      <c r="BV110">
        <v>0</v>
      </c>
      <c r="BW110">
        <v>1</v>
      </c>
      <c r="CX110">
        <f>Y110*Source!I44</f>
        <v>10.695069000000002</v>
      </c>
      <c r="CY110">
        <f>AD110</f>
        <v>132.29</v>
      </c>
      <c r="CZ110">
        <f>AH110</f>
        <v>132.29</v>
      </c>
      <c r="DA110">
        <f>AL110</f>
        <v>1</v>
      </c>
      <c r="DB110">
        <v>0</v>
      </c>
    </row>
    <row r="111" spans="1:106" ht="12.75">
      <c r="A111">
        <f>ROW(Source!A44)</f>
        <v>44</v>
      </c>
      <c r="B111">
        <v>26994759</v>
      </c>
      <c r="C111">
        <v>27030192</v>
      </c>
      <c r="D111">
        <v>121548</v>
      </c>
      <c r="E111">
        <v>1</v>
      </c>
      <c r="F111">
        <v>1</v>
      </c>
      <c r="G111">
        <v>1</v>
      </c>
      <c r="H111">
        <v>1</v>
      </c>
      <c r="I111" t="s">
        <v>26</v>
      </c>
      <c r="K111" t="s">
        <v>358</v>
      </c>
      <c r="L111">
        <v>608254</v>
      </c>
      <c r="N111">
        <v>1013</v>
      </c>
      <c r="O111" t="s">
        <v>359</v>
      </c>
      <c r="P111" t="s">
        <v>359</v>
      </c>
      <c r="Q111">
        <v>1</v>
      </c>
      <c r="W111">
        <v>0</v>
      </c>
      <c r="X111">
        <v>-185737400</v>
      </c>
      <c r="Y111">
        <v>0.0125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1</v>
      </c>
      <c r="AK111">
        <v>1</v>
      </c>
      <c r="AL111">
        <v>1</v>
      </c>
      <c r="AN111">
        <v>0</v>
      </c>
      <c r="AO111">
        <v>0</v>
      </c>
      <c r="AP111">
        <v>1</v>
      </c>
      <c r="AQ111">
        <v>1</v>
      </c>
      <c r="AR111">
        <v>0</v>
      </c>
      <c r="AT111">
        <v>0.01</v>
      </c>
      <c r="AU111" t="s">
        <v>17</v>
      </c>
      <c r="AV111">
        <v>2</v>
      </c>
      <c r="AW111">
        <v>2</v>
      </c>
      <c r="AX111">
        <v>27030202</v>
      </c>
      <c r="AY111">
        <v>1</v>
      </c>
      <c r="AZ111">
        <v>0</v>
      </c>
      <c r="BA111">
        <v>148</v>
      </c>
      <c r="BB111">
        <v>1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0.01</v>
      </c>
      <c r="BP111">
        <v>1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0.0125</v>
      </c>
      <c r="BW111">
        <v>1</v>
      </c>
      <c r="CX111">
        <f>Y111*Source!I44</f>
        <v>0.0068625000000000005</v>
      </c>
      <c r="CY111">
        <f>AD111</f>
        <v>0</v>
      </c>
      <c r="CZ111">
        <f>AH111</f>
        <v>0</v>
      </c>
      <c r="DA111">
        <f>AL111</f>
        <v>1</v>
      </c>
      <c r="DB111">
        <v>0</v>
      </c>
    </row>
    <row r="112" spans="1:106" ht="12.75">
      <c r="A112">
        <f>ROW(Source!A44)</f>
        <v>44</v>
      </c>
      <c r="B112">
        <v>26994759</v>
      </c>
      <c r="C112">
        <v>27030192</v>
      </c>
      <c r="D112">
        <v>24312004</v>
      </c>
      <c r="E112">
        <v>1</v>
      </c>
      <c r="F112">
        <v>1</v>
      </c>
      <c r="G112">
        <v>1</v>
      </c>
      <c r="H112">
        <v>2</v>
      </c>
      <c r="I112" t="s">
        <v>389</v>
      </c>
      <c r="J112" t="s">
        <v>390</v>
      </c>
      <c r="K112" t="s">
        <v>391</v>
      </c>
      <c r="L112">
        <v>1368</v>
      </c>
      <c r="N112">
        <v>1011</v>
      </c>
      <c r="O112" t="s">
        <v>327</v>
      </c>
      <c r="P112" t="s">
        <v>327</v>
      </c>
      <c r="Q112">
        <v>1</v>
      </c>
      <c r="W112">
        <v>0</v>
      </c>
      <c r="X112">
        <v>1499254570</v>
      </c>
      <c r="Y112">
        <v>0.0125</v>
      </c>
      <c r="AA112">
        <v>0</v>
      </c>
      <c r="AB112">
        <v>246.77</v>
      </c>
      <c r="AC112">
        <v>0</v>
      </c>
      <c r="AD112">
        <v>0</v>
      </c>
      <c r="AE112">
        <v>0</v>
      </c>
      <c r="AF112">
        <v>246.77</v>
      </c>
      <c r="AG112">
        <v>0</v>
      </c>
      <c r="AH112">
        <v>0</v>
      </c>
      <c r="AI112">
        <v>1</v>
      </c>
      <c r="AJ112">
        <v>1</v>
      </c>
      <c r="AK112">
        <v>1</v>
      </c>
      <c r="AL112">
        <v>1</v>
      </c>
      <c r="AN112">
        <v>0</v>
      </c>
      <c r="AO112">
        <v>0</v>
      </c>
      <c r="AP112">
        <v>1</v>
      </c>
      <c r="AQ112">
        <v>1</v>
      </c>
      <c r="AR112">
        <v>0</v>
      </c>
      <c r="AT112">
        <v>0.01</v>
      </c>
      <c r="AU112" t="s">
        <v>17</v>
      </c>
      <c r="AV112">
        <v>0</v>
      </c>
      <c r="AW112">
        <v>2</v>
      </c>
      <c r="AX112">
        <v>27030203</v>
      </c>
      <c r="AY112">
        <v>2</v>
      </c>
      <c r="AZ112">
        <v>98304</v>
      </c>
      <c r="BA112">
        <v>149</v>
      </c>
      <c r="BB112">
        <v>1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2.4677000000000002</v>
      </c>
      <c r="BL112">
        <v>0</v>
      </c>
      <c r="BM112">
        <v>0</v>
      </c>
      <c r="BN112">
        <v>0</v>
      </c>
      <c r="BO112">
        <v>0</v>
      </c>
      <c r="BP112">
        <v>1</v>
      </c>
      <c r="BQ112">
        <v>0</v>
      </c>
      <c r="BR112">
        <v>3.0846250000000004</v>
      </c>
      <c r="BS112">
        <v>0</v>
      </c>
      <c r="BT112">
        <v>0</v>
      </c>
      <c r="BU112">
        <v>0</v>
      </c>
      <c r="BV112">
        <v>0</v>
      </c>
      <c r="BW112">
        <v>1</v>
      </c>
      <c r="CX112">
        <f>Y112*Source!I44</f>
        <v>0.0068625000000000005</v>
      </c>
      <c r="CY112">
        <f>AB112</f>
        <v>246.77</v>
      </c>
      <c r="CZ112">
        <f>AF112</f>
        <v>246.77</v>
      </c>
      <c r="DA112">
        <f>AJ112</f>
        <v>1</v>
      </c>
      <c r="DB112">
        <v>0</v>
      </c>
    </row>
    <row r="113" spans="1:106" ht="12.75">
      <c r="A113">
        <f>ROW(Source!A44)</f>
        <v>44</v>
      </c>
      <c r="B113">
        <v>26994759</v>
      </c>
      <c r="C113">
        <v>27030192</v>
      </c>
      <c r="D113">
        <v>24262102</v>
      </c>
      <c r="E113">
        <v>1</v>
      </c>
      <c r="F113">
        <v>1</v>
      </c>
      <c r="G113">
        <v>1</v>
      </c>
      <c r="H113">
        <v>2</v>
      </c>
      <c r="I113" t="s">
        <v>371</v>
      </c>
      <c r="J113" t="s">
        <v>372</v>
      </c>
      <c r="K113" t="s">
        <v>373</v>
      </c>
      <c r="L113">
        <v>1368</v>
      </c>
      <c r="N113">
        <v>1011</v>
      </c>
      <c r="O113" t="s">
        <v>327</v>
      </c>
      <c r="P113" t="s">
        <v>327</v>
      </c>
      <c r="Q113">
        <v>1</v>
      </c>
      <c r="W113">
        <v>0</v>
      </c>
      <c r="X113">
        <v>596191924</v>
      </c>
      <c r="Y113">
        <v>0.11249999999999999</v>
      </c>
      <c r="AA113">
        <v>0</v>
      </c>
      <c r="AB113">
        <v>691.3</v>
      </c>
      <c r="AC113">
        <v>0</v>
      </c>
      <c r="AD113">
        <v>0</v>
      </c>
      <c r="AE113">
        <v>0</v>
      </c>
      <c r="AF113">
        <v>691.3</v>
      </c>
      <c r="AG113">
        <v>0</v>
      </c>
      <c r="AH113">
        <v>0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0</v>
      </c>
      <c r="AP113">
        <v>1</v>
      </c>
      <c r="AQ113">
        <v>1</v>
      </c>
      <c r="AR113">
        <v>0</v>
      </c>
      <c r="AT113">
        <v>0.09</v>
      </c>
      <c r="AU113" t="s">
        <v>17</v>
      </c>
      <c r="AV113">
        <v>0</v>
      </c>
      <c r="AW113">
        <v>2</v>
      </c>
      <c r="AX113">
        <v>27030204</v>
      </c>
      <c r="AY113">
        <v>2</v>
      </c>
      <c r="AZ113">
        <v>98304</v>
      </c>
      <c r="BA113">
        <v>150</v>
      </c>
      <c r="BB113">
        <v>1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62.21699999999999</v>
      </c>
      <c r="BL113">
        <v>0</v>
      </c>
      <c r="BM113">
        <v>0</v>
      </c>
      <c r="BN113">
        <v>0</v>
      </c>
      <c r="BO113">
        <v>0</v>
      </c>
      <c r="BP113">
        <v>1</v>
      </c>
      <c r="BQ113">
        <v>0</v>
      </c>
      <c r="BR113">
        <v>77.77124999999998</v>
      </c>
      <c r="BS113">
        <v>0</v>
      </c>
      <c r="BT113">
        <v>0</v>
      </c>
      <c r="BU113">
        <v>0</v>
      </c>
      <c r="BV113">
        <v>0</v>
      </c>
      <c r="BW113">
        <v>1</v>
      </c>
      <c r="CX113">
        <f>Y113*Source!I44</f>
        <v>0.0617625</v>
      </c>
      <c r="CY113">
        <f>AB113</f>
        <v>691.3</v>
      </c>
      <c r="CZ113">
        <f>AF113</f>
        <v>691.3</v>
      </c>
      <c r="DA113">
        <f>AJ113</f>
        <v>1</v>
      </c>
      <c r="DB113">
        <v>0</v>
      </c>
    </row>
    <row r="114" spans="1:106" ht="12.75">
      <c r="A114">
        <f>ROW(Source!A44)</f>
        <v>44</v>
      </c>
      <c r="B114">
        <v>26994759</v>
      </c>
      <c r="C114">
        <v>27030192</v>
      </c>
      <c r="D114">
        <v>24331087</v>
      </c>
      <c r="E114">
        <v>1</v>
      </c>
      <c r="F114">
        <v>1</v>
      </c>
      <c r="G114">
        <v>1</v>
      </c>
      <c r="H114">
        <v>3</v>
      </c>
      <c r="I114" t="s">
        <v>402</v>
      </c>
      <c r="J114" t="s">
        <v>403</v>
      </c>
      <c r="K114" t="s">
        <v>404</v>
      </c>
      <c r="L114">
        <v>1327</v>
      </c>
      <c r="N114">
        <v>1005</v>
      </c>
      <c r="O114" t="s">
        <v>348</v>
      </c>
      <c r="P114" t="s">
        <v>348</v>
      </c>
      <c r="Q114">
        <v>1</v>
      </c>
      <c r="W114">
        <v>0</v>
      </c>
      <c r="X114">
        <v>1375622301</v>
      </c>
      <c r="Y114">
        <v>0.33</v>
      </c>
      <c r="AA114">
        <v>406.78</v>
      </c>
      <c r="AB114">
        <v>0</v>
      </c>
      <c r="AC114">
        <v>0</v>
      </c>
      <c r="AD114">
        <v>0</v>
      </c>
      <c r="AE114">
        <v>406.78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0</v>
      </c>
      <c r="AP114">
        <v>0</v>
      </c>
      <c r="AQ114">
        <v>1</v>
      </c>
      <c r="AR114">
        <v>0</v>
      </c>
      <c r="AT114">
        <v>0.33</v>
      </c>
      <c r="AV114">
        <v>0</v>
      </c>
      <c r="AW114">
        <v>2</v>
      </c>
      <c r="AX114">
        <v>27030205</v>
      </c>
      <c r="AY114">
        <v>2</v>
      </c>
      <c r="AZ114">
        <v>16384</v>
      </c>
      <c r="BA114">
        <v>151</v>
      </c>
      <c r="BB114">
        <v>1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134.2374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1</v>
      </c>
      <c r="BQ114">
        <v>134.2374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1</v>
      </c>
      <c r="CX114">
        <f>Y114*Source!I44</f>
        <v>0.18117000000000003</v>
      </c>
      <c r="CY114">
        <f>AA114</f>
        <v>406.78</v>
      </c>
      <c r="CZ114">
        <f>AE114</f>
        <v>406.78</v>
      </c>
      <c r="DA114">
        <f>AI114</f>
        <v>1</v>
      </c>
      <c r="DB114">
        <v>0</v>
      </c>
    </row>
    <row r="115" spans="1:106" ht="12.75">
      <c r="A115">
        <f>ROW(Source!A44)</f>
        <v>44</v>
      </c>
      <c r="B115">
        <v>26994759</v>
      </c>
      <c r="C115">
        <v>27030192</v>
      </c>
      <c r="D115">
        <v>24313317</v>
      </c>
      <c r="E115">
        <v>1</v>
      </c>
      <c r="F115">
        <v>1</v>
      </c>
      <c r="G115">
        <v>1</v>
      </c>
      <c r="H115">
        <v>3</v>
      </c>
      <c r="I115" t="s">
        <v>405</v>
      </c>
      <c r="J115" t="s">
        <v>406</v>
      </c>
      <c r="K115" t="s">
        <v>344</v>
      </c>
      <c r="L115">
        <v>1348</v>
      </c>
      <c r="N115">
        <v>1009</v>
      </c>
      <c r="O115" t="s">
        <v>203</v>
      </c>
      <c r="P115" t="s">
        <v>203</v>
      </c>
      <c r="Q115">
        <v>1000</v>
      </c>
      <c r="W115">
        <v>0</v>
      </c>
      <c r="X115">
        <v>76460565</v>
      </c>
      <c r="Y115">
        <v>0.0055</v>
      </c>
      <c r="AA115">
        <v>15152.43</v>
      </c>
      <c r="AB115">
        <v>0</v>
      </c>
      <c r="AC115">
        <v>0</v>
      </c>
      <c r="AD115">
        <v>0</v>
      </c>
      <c r="AE115">
        <v>15152.43</v>
      </c>
      <c r="AF115">
        <v>0</v>
      </c>
      <c r="AG115">
        <v>0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0</v>
      </c>
      <c r="AQ115">
        <v>1</v>
      </c>
      <c r="AR115">
        <v>0</v>
      </c>
      <c r="AT115">
        <v>0.0055</v>
      </c>
      <c r="AV115">
        <v>0</v>
      </c>
      <c r="AW115">
        <v>2</v>
      </c>
      <c r="AX115">
        <v>27030206</v>
      </c>
      <c r="AY115">
        <v>2</v>
      </c>
      <c r="AZ115">
        <v>16384</v>
      </c>
      <c r="BA115">
        <v>152</v>
      </c>
      <c r="BB115">
        <v>1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83.338365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1</v>
      </c>
      <c r="BQ115">
        <v>83.338365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1</v>
      </c>
      <c r="CX115">
        <f>Y115*Source!I44</f>
        <v>0.0030195</v>
      </c>
      <c r="CY115">
        <f>AA115</f>
        <v>15152.43</v>
      </c>
      <c r="CZ115">
        <f>AE115</f>
        <v>15152.43</v>
      </c>
      <c r="DA115">
        <f>AI115</f>
        <v>1</v>
      </c>
      <c r="DB115">
        <v>0</v>
      </c>
    </row>
    <row r="116" spans="1:106" ht="12.75">
      <c r="A116">
        <f>ROW(Source!A44)</f>
        <v>44</v>
      </c>
      <c r="B116">
        <v>26994759</v>
      </c>
      <c r="C116">
        <v>27030192</v>
      </c>
      <c r="D116">
        <v>24302728</v>
      </c>
      <c r="E116">
        <v>1</v>
      </c>
      <c r="F116">
        <v>1</v>
      </c>
      <c r="G116">
        <v>1</v>
      </c>
      <c r="H116">
        <v>3</v>
      </c>
      <c r="I116" t="s">
        <v>392</v>
      </c>
      <c r="J116" t="s">
        <v>393</v>
      </c>
      <c r="K116" t="s">
        <v>394</v>
      </c>
      <c r="L116">
        <v>1346</v>
      </c>
      <c r="N116">
        <v>1009</v>
      </c>
      <c r="O116" t="s">
        <v>341</v>
      </c>
      <c r="P116" t="s">
        <v>341</v>
      </c>
      <c r="Q116">
        <v>1</v>
      </c>
      <c r="W116">
        <v>0</v>
      </c>
      <c r="X116">
        <v>-294913766</v>
      </c>
      <c r="Y116">
        <v>0.11</v>
      </c>
      <c r="AA116">
        <v>52.32</v>
      </c>
      <c r="AB116">
        <v>0</v>
      </c>
      <c r="AC116">
        <v>0</v>
      </c>
      <c r="AD116">
        <v>0</v>
      </c>
      <c r="AE116">
        <v>52.32</v>
      </c>
      <c r="AF116">
        <v>0</v>
      </c>
      <c r="AG116">
        <v>0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0</v>
      </c>
      <c r="AQ116">
        <v>1</v>
      </c>
      <c r="AR116">
        <v>0</v>
      </c>
      <c r="AT116">
        <v>0.11</v>
      </c>
      <c r="AV116">
        <v>0</v>
      </c>
      <c r="AW116">
        <v>2</v>
      </c>
      <c r="AX116">
        <v>27030207</v>
      </c>
      <c r="AY116">
        <v>2</v>
      </c>
      <c r="AZ116">
        <v>16384</v>
      </c>
      <c r="BA116">
        <v>153</v>
      </c>
      <c r="BB116">
        <v>1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5.7552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1</v>
      </c>
      <c r="BQ116">
        <v>5.7552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1</v>
      </c>
      <c r="CX116">
        <f>Y116*Source!I44</f>
        <v>0.060390000000000006</v>
      </c>
      <c r="CY116">
        <f>AA116</f>
        <v>52.32</v>
      </c>
      <c r="CZ116">
        <f>AE116</f>
        <v>52.32</v>
      </c>
      <c r="DA116">
        <f>AI116</f>
        <v>1</v>
      </c>
      <c r="DB116">
        <v>0</v>
      </c>
    </row>
    <row r="117" spans="1:106" ht="12.75">
      <c r="A117">
        <f>ROW(Source!A44)</f>
        <v>44</v>
      </c>
      <c r="B117">
        <v>26994759</v>
      </c>
      <c r="C117">
        <v>27030192</v>
      </c>
      <c r="D117">
        <v>24577300</v>
      </c>
      <c r="E117">
        <v>1</v>
      </c>
      <c r="F117">
        <v>1</v>
      </c>
      <c r="G117">
        <v>1</v>
      </c>
      <c r="H117">
        <v>3</v>
      </c>
      <c r="I117" t="s">
        <v>407</v>
      </c>
      <c r="J117" t="s">
        <v>408</v>
      </c>
      <c r="K117" t="s">
        <v>409</v>
      </c>
      <c r="L117">
        <v>1348</v>
      </c>
      <c r="N117">
        <v>1009</v>
      </c>
      <c r="O117" t="s">
        <v>203</v>
      </c>
      <c r="P117" t="s">
        <v>203</v>
      </c>
      <c r="Q117">
        <v>1000</v>
      </c>
      <c r="W117">
        <v>0</v>
      </c>
      <c r="X117">
        <v>1835545494</v>
      </c>
      <c r="Y117">
        <v>0.057</v>
      </c>
      <c r="AA117">
        <v>106810</v>
      </c>
      <c r="AB117">
        <v>0</v>
      </c>
      <c r="AC117">
        <v>0</v>
      </c>
      <c r="AD117">
        <v>0</v>
      </c>
      <c r="AE117">
        <v>106810</v>
      </c>
      <c r="AF117">
        <v>0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0</v>
      </c>
      <c r="AP117">
        <v>0</v>
      </c>
      <c r="AQ117">
        <v>1</v>
      </c>
      <c r="AR117">
        <v>0</v>
      </c>
      <c r="AT117">
        <v>0.057</v>
      </c>
      <c r="AV117">
        <v>0</v>
      </c>
      <c r="AW117">
        <v>2</v>
      </c>
      <c r="AX117">
        <v>27030208</v>
      </c>
      <c r="AY117">
        <v>2</v>
      </c>
      <c r="AZ117">
        <v>16384</v>
      </c>
      <c r="BA117">
        <v>154</v>
      </c>
      <c r="BB117">
        <v>1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6088.17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1</v>
      </c>
      <c r="BQ117">
        <v>6088.17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1</v>
      </c>
      <c r="CX117">
        <f>Y117*Source!I44</f>
        <v>0.031293</v>
      </c>
      <c r="CY117">
        <f>AA117</f>
        <v>106810</v>
      </c>
      <c r="CZ117">
        <f>AE117</f>
        <v>106810</v>
      </c>
      <c r="DA117">
        <f>AI117</f>
        <v>1</v>
      </c>
      <c r="DB117">
        <v>0</v>
      </c>
    </row>
    <row r="118" spans="1:106" ht="12.75">
      <c r="A118">
        <f>ROW(Source!A45)</f>
        <v>45</v>
      </c>
      <c r="B118">
        <v>26994759</v>
      </c>
      <c r="C118">
        <v>27024145</v>
      </c>
      <c r="D118">
        <v>9415493</v>
      </c>
      <c r="E118">
        <v>1</v>
      </c>
      <c r="F118">
        <v>1</v>
      </c>
      <c r="G118">
        <v>1</v>
      </c>
      <c r="H118">
        <v>1</v>
      </c>
      <c r="I118" t="s">
        <v>398</v>
      </c>
      <c r="K118" t="s">
        <v>399</v>
      </c>
      <c r="L118">
        <v>1369</v>
      </c>
      <c r="N118">
        <v>1013</v>
      </c>
      <c r="O118" t="s">
        <v>323</v>
      </c>
      <c r="P118" t="s">
        <v>323</v>
      </c>
      <c r="Q118">
        <v>1</v>
      </c>
      <c r="W118">
        <v>0</v>
      </c>
      <c r="X118">
        <v>1774247228</v>
      </c>
      <c r="Y118">
        <v>49.59</v>
      </c>
      <c r="AA118">
        <v>0</v>
      </c>
      <c r="AB118">
        <v>0</v>
      </c>
      <c r="AC118">
        <v>0</v>
      </c>
      <c r="AD118">
        <v>125.72</v>
      </c>
      <c r="AE118">
        <v>0</v>
      </c>
      <c r="AF118">
        <v>0</v>
      </c>
      <c r="AG118">
        <v>0</v>
      </c>
      <c r="AH118">
        <v>125.72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0</v>
      </c>
      <c r="AP118">
        <v>1</v>
      </c>
      <c r="AQ118">
        <v>1</v>
      </c>
      <c r="AR118">
        <v>0</v>
      </c>
      <c r="AT118">
        <v>49.59</v>
      </c>
      <c r="AV118">
        <v>1</v>
      </c>
      <c r="AW118">
        <v>2</v>
      </c>
      <c r="AX118">
        <v>27024150</v>
      </c>
      <c r="AY118">
        <v>2</v>
      </c>
      <c r="AZ118">
        <v>131072</v>
      </c>
      <c r="BA118">
        <v>155</v>
      </c>
      <c r="BB118">
        <v>1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6234.4548</v>
      </c>
      <c r="BN118">
        <v>49.59</v>
      </c>
      <c r="BO118">
        <v>0</v>
      </c>
      <c r="BP118">
        <v>1</v>
      </c>
      <c r="BQ118">
        <v>0</v>
      </c>
      <c r="BR118">
        <v>0</v>
      </c>
      <c r="BS118">
        <v>0</v>
      </c>
      <c r="BT118">
        <v>6234.4548</v>
      </c>
      <c r="BU118">
        <v>49.59</v>
      </c>
      <c r="BV118">
        <v>0</v>
      </c>
      <c r="BW118">
        <v>1</v>
      </c>
      <c r="CX118">
        <f>Y118*Source!I45</f>
        <v>482.26275000000004</v>
      </c>
      <c r="CY118">
        <f>AD118</f>
        <v>125.72</v>
      </c>
      <c r="CZ118">
        <f>AH118</f>
        <v>125.72</v>
      </c>
      <c r="DA118">
        <f>AL118</f>
        <v>1</v>
      </c>
      <c r="DB118">
        <v>0</v>
      </c>
    </row>
    <row r="119" spans="1:106" ht="12.75">
      <c r="A119">
        <f>ROW(Source!A45)</f>
        <v>45</v>
      </c>
      <c r="B119">
        <v>26994759</v>
      </c>
      <c r="C119">
        <v>27024145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26</v>
      </c>
      <c r="K119" t="s">
        <v>358</v>
      </c>
      <c r="L119">
        <v>608254</v>
      </c>
      <c r="N119">
        <v>1013</v>
      </c>
      <c r="O119" t="s">
        <v>359</v>
      </c>
      <c r="P119" t="s">
        <v>359</v>
      </c>
      <c r="Q119">
        <v>1</v>
      </c>
      <c r="W119">
        <v>0</v>
      </c>
      <c r="X119">
        <v>-185737400</v>
      </c>
      <c r="Y119">
        <v>23.08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0</v>
      </c>
      <c r="AP119">
        <v>1</v>
      </c>
      <c r="AQ119">
        <v>1</v>
      </c>
      <c r="AR119">
        <v>0</v>
      </c>
      <c r="AT119">
        <v>23.08</v>
      </c>
      <c r="AV119">
        <v>2</v>
      </c>
      <c r="AW119">
        <v>2</v>
      </c>
      <c r="AX119">
        <v>27024151</v>
      </c>
      <c r="AY119">
        <v>1</v>
      </c>
      <c r="AZ119">
        <v>0</v>
      </c>
      <c r="BA119">
        <v>156</v>
      </c>
      <c r="BB119">
        <v>1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23.08</v>
      </c>
      <c r="BP119">
        <v>1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23.08</v>
      </c>
      <c r="BW119">
        <v>1</v>
      </c>
      <c r="CX119">
        <f>Y119*Source!I45</f>
        <v>224.45299999999997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ht="12.75">
      <c r="A120">
        <f>ROW(Source!A45)</f>
        <v>45</v>
      </c>
      <c r="B120">
        <v>26994759</v>
      </c>
      <c r="C120">
        <v>27024145</v>
      </c>
      <c r="D120">
        <v>24267967</v>
      </c>
      <c r="E120">
        <v>1</v>
      </c>
      <c r="F120">
        <v>1</v>
      </c>
      <c r="G120">
        <v>1</v>
      </c>
      <c r="H120">
        <v>2</v>
      </c>
      <c r="I120" t="s">
        <v>477</v>
      </c>
      <c r="J120" t="s">
        <v>478</v>
      </c>
      <c r="K120" t="s">
        <v>479</v>
      </c>
      <c r="L120">
        <v>1368</v>
      </c>
      <c r="N120">
        <v>1011</v>
      </c>
      <c r="O120" t="s">
        <v>327</v>
      </c>
      <c r="P120" t="s">
        <v>327</v>
      </c>
      <c r="Q120">
        <v>1</v>
      </c>
      <c r="W120">
        <v>0</v>
      </c>
      <c r="X120">
        <v>-707733827</v>
      </c>
      <c r="Y120">
        <v>23.08</v>
      </c>
      <c r="AA120">
        <v>0</v>
      </c>
      <c r="AB120">
        <v>536.87</v>
      </c>
      <c r="AC120">
        <v>0</v>
      </c>
      <c r="AD120">
        <v>0</v>
      </c>
      <c r="AE120">
        <v>0</v>
      </c>
      <c r="AF120">
        <v>536.87</v>
      </c>
      <c r="AG120">
        <v>0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0</v>
      </c>
      <c r="AP120">
        <v>1</v>
      </c>
      <c r="AQ120">
        <v>1</v>
      </c>
      <c r="AR120">
        <v>0</v>
      </c>
      <c r="AT120">
        <v>23.08</v>
      </c>
      <c r="AV120">
        <v>0</v>
      </c>
      <c r="AW120">
        <v>2</v>
      </c>
      <c r="AX120">
        <v>27024152</v>
      </c>
      <c r="AY120">
        <v>2</v>
      </c>
      <c r="AZ120">
        <v>98304</v>
      </c>
      <c r="BA120">
        <v>157</v>
      </c>
      <c r="BB120">
        <v>1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12390.959599999998</v>
      </c>
      <c r="BL120">
        <v>0</v>
      </c>
      <c r="BM120">
        <v>0</v>
      </c>
      <c r="BN120">
        <v>0</v>
      </c>
      <c r="BO120">
        <v>0</v>
      </c>
      <c r="BP120">
        <v>1</v>
      </c>
      <c r="BQ120">
        <v>0</v>
      </c>
      <c r="BR120">
        <v>12390.959599999998</v>
      </c>
      <c r="BS120">
        <v>0</v>
      </c>
      <c r="BT120">
        <v>0</v>
      </c>
      <c r="BU120">
        <v>0</v>
      </c>
      <c r="BV120">
        <v>0</v>
      </c>
      <c r="BW120">
        <v>1</v>
      </c>
      <c r="CX120">
        <f>Y120*Source!I45</f>
        <v>224.45299999999997</v>
      </c>
      <c r="CY120">
        <f>AB120</f>
        <v>536.87</v>
      </c>
      <c r="CZ120">
        <f>AF120</f>
        <v>536.87</v>
      </c>
      <c r="DA120">
        <f>AJ120</f>
        <v>1</v>
      </c>
      <c r="DB120">
        <v>0</v>
      </c>
    </row>
    <row r="121" spans="1:106" ht="12.75">
      <c r="A121">
        <f>ROW(Source!A45)</f>
        <v>45</v>
      </c>
      <c r="B121">
        <v>26994759</v>
      </c>
      <c r="C121">
        <v>27024145</v>
      </c>
      <c r="D121">
        <v>24268931</v>
      </c>
      <c r="E121">
        <v>1</v>
      </c>
      <c r="F121">
        <v>1</v>
      </c>
      <c r="G121">
        <v>1</v>
      </c>
      <c r="H121">
        <v>2</v>
      </c>
      <c r="I121" t="s">
        <v>480</v>
      </c>
      <c r="J121" t="s">
        <v>481</v>
      </c>
      <c r="K121" t="s">
        <v>482</v>
      </c>
      <c r="L121">
        <v>1368</v>
      </c>
      <c r="N121">
        <v>1011</v>
      </c>
      <c r="O121" t="s">
        <v>327</v>
      </c>
      <c r="P121" t="s">
        <v>327</v>
      </c>
      <c r="Q121">
        <v>1</v>
      </c>
      <c r="W121">
        <v>0</v>
      </c>
      <c r="X121">
        <v>146692532</v>
      </c>
      <c r="Y121">
        <v>46.16</v>
      </c>
      <c r="AA121">
        <v>0</v>
      </c>
      <c r="AB121">
        <v>76.96</v>
      </c>
      <c r="AC121">
        <v>0</v>
      </c>
      <c r="AD121">
        <v>0</v>
      </c>
      <c r="AE121">
        <v>0</v>
      </c>
      <c r="AF121">
        <v>76.96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0</v>
      </c>
      <c r="AP121">
        <v>1</v>
      </c>
      <c r="AQ121">
        <v>1</v>
      </c>
      <c r="AR121">
        <v>0</v>
      </c>
      <c r="AT121">
        <v>46.16</v>
      </c>
      <c r="AV121">
        <v>0</v>
      </c>
      <c r="AW121">
        <v>2</v>
      </c>
      <c r="AX121">
        <v>27024153</v>
      </c>
      <c r="AY121">
        <v>2</v>
      </c>
      <c r="AZ121">
        <v>32768</v>
      </c>
      <c r="BA121">
        <v>158</v>
      </c>
      <c r="BB121">
        <v>1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3552.4735999999994</v>
      </c>
      <c r="BL121">
        <v>0</v>
      </c>
      <c r="BM121">
        <v>0</v>
      </c>
      <c r="BN121">
        <v>0</v>
      </c>
      <c r="BO121">
        <v>0</v>
      </c>
      <c r="BP121">
        <v>1</v>
      </c>
      <c r="BQ121">
        <v>0</v>
      </c>
      <c r="BR121">
        <v>3552.4735999999994</v>
      </c>
      <c r="BS121">
        <v>0</v>
      </c>
      <c r="BT121">
        <v>0</v>
      </c>
      <c r="BU121">
        <v>0</v>
      </c>
      <c r="BV121">
        <v>0</v>
      </c>
      <c r="BW121">
        <v>1</v>
      </c>
      <c r="CX121">
        <f>Y121*Source!I45</f>
        <v>448.90599999999995</v>
      </c>
      <c r="CY121">
        <f>AB121</f>
        <v>76.96</v>
      </c>
      <c r="CZ121">
        <f>AF121</f>
        <v>76.96</v>
      </c>
      <c r="DA121">
        <f>AJ121</f>
        <v>1</v>
      </c>
      <c r="DB121">
        <v>0</v>
      </c>
    </row>
    <row r="122" spans="1:106" ht="12.75">
      <c r="A122">
        <f>ROW(Source!A46)</f>
        <v>46</v>
      </c>
      <c r="B122">
        <v>26994759</v>
      </c>
      <c r="C122">
        <v>27022839</v>
      </c>
      <c r="D122">
        <v>9415352</v>
      </c>
      <c r="E122">
        <v>1</v>
      </c>
      <c r="F122">
        <v>1</v>
      </c>
      <c r="G122">
        <v>1</v>
      </c>
      <c r="H122">
        <v>1</v>
      </c>
      <c r="I122" t="s">
        <v>387</v>
      </c>
      <c r="K122" t="s">
        <v>388</v>
      </c>
      <c r="L122">
        <v>1369</v>
      </c>
      <c r="N122">
        <v>1013</v>
      </c>
      <c r="O122" t="s">
        <v>323</v>
      </c>
      <c r="P122" t="s">
        <v>323</v>
      </c>
      <c r="Q122">
        <v>1</v>
      </c>
      <c r="W122">
        <v>0</v>
      </c>
      <c r="X122">
        <v>-1673341983</v>
      </c>
      <c r="Y122">
        <v>44.964999999999996</v>
      </c>
      <c r="AA122">
        <v>0</v>
      </c>
      <c r="AB122">
        <v>0</v>
      </c>
      <c r="AC122">
        <v>0</v>
      </c>
      <c r="AD122">
        <v>141.83</v>
      </c>
      <c r="AE122">
        <v>0</v>
      </c>
      <c r="AF122">
        <v>0</v>
      </c>
      <c r="AG122">
        <v>0</v>
      </c>
      <c r="AH122">
        <v>141.83</v>
      </c>
      <c r="AI122">
        <v>1</v>
      </c>
      <c r="AJ122">
        <v>1</v>
      </c>
      <c r="AK122">
        <v>1</v>
      </c>
      <c r="AL122">
        <v>1</v>
      </c>
      <c r="AN122">
        <v>0</v>
      </c>
      <c r="AO122">
        <v>0</v>
      </c>
      <c r="AP122">
        <v>1</v>
      </c>
      <c r="AQ122">
        <v>1</v>
      </c>
      <c r="AR122">
        <v>0</v>
      </c>
      <c r="AT122">
        <v>39.1</v>
      </c>
      <c r="AU122" t="s">
        <v>18</v>
      </c>
      <c r="AV122">
        <v>1</v>
      </c>
      <c r="AW122">
        <v>2</v>
      </c>
      <c r="AX122">
        <v>27022846</v>
      </c>
      <c r="AY122">
        <v>2</v>
      </c>
      <c r="AZ122">
        <v>131072</v>
      </c>
      <c r="BA122">
        <v>159</v>
      </c>
      <c r="BB122">
        <v>1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5545.553000000001</v>
      </c>
      <c r="BN122">
        <v>39.1</v>
      </c>
      <c r="BO122">
        <v>0</v>
      </c>
      <c r="BP122">
        <v>1</v>
      </c>
      <c r="BQ122">
        <v>0</v>
      </c>
      <c r="BR122">
        <v>0</v>
      </c>
      <c r="BS122">
        <v>0</v>
      </c>
      <c r="BT122">
        <v>6377.38595</v>
      </c>
      <c r="BU122">
        <v>44.964999999999996</v>
      </c>
      <c r="BV122">
        <v>0</v>
      </c>
      <c r="BW122">
        <v>1</v>
      </c>
      <c r="CX122">
        <f>Y122*Source!I46</f>
        <v>17.491384999999998</v>
      </c>
      <c r="CY122">
        <f>AD122</f>
        <v>141.83</v>
      </c>
      <c r="CZ122">
        <f>AH122</f>
        <v>141.83</v>
      </c>
      <c r="DA122">
        <f>AL122</f>
        <v>1</v>
      </c>
      <c r="DB122">
        <v>0</v>
      </c>
    </row>
    <row r="123" spans="1:106" ht="12.75">
      <c r="A123">
        <f>ROW(Source!A46)</f>
        <v>46</v>
      </c>
      <c r="B123">
        <v>26994759</v>
      </c>
      <c r="C123">
        <v>27022839</v>
      </c>
      <c r="D123">
        <v>121548</v>
      </c>
      <c r="E123">
        <v>1</v>
      </c>
      <c r="F123">
        <v>1</v>
      </c>
      <c r="G123">
        <v>1</v>
      </c>
      <c r="H123">
        <v>1</v>
      </c>
      <c r="I123" t="s">
        <v>26</v>
      </c>
      <c r="K123" t="s">
        <v>358</v>
      </c>
      <c r="L123">
        <v>608254</v>
      </c>
      <c r="N123">
        <v>1013</v>
      </c>
      <c r="O123" t="s">
        <v>359</v>
      </c>
      <c r="P123" t="s">
        <v>359</v>
      </c>
      <c r="Q123">
        <v>1</v>
      </c>
      <c r="W123">
        <v>0</v>
      </c>
      <c r="X123">
        <v>-185737400</v>
      </c>
      <c r="Y123">
        <v>17.4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0</v>
      </c>
      <c r="AP123">
        <v>1</v>
      </c>
      <c r="AQ123">
        <v>1</v>
      </c>
      <c r="AR123">
        <v>0</v>
      </c>
      <c r="AT123">
        <v>13.92</v>
      </c>
      <c r="AU123" t="s">
        <v>17</v>
      </c>
      <c r="AV123">
        <v>2</v>
      </c>
      <c r="AW123">
        <v>2</v>
      </c>
      <c r="AX123">
        <v>27022847</v>
      </c>
      <c r="AY123">
        <v>1</v>
      </c>
      <c r="AZ123">
        <v>0</v>
      </c>
      <c r="BA123">
        <v>160</v>
      </c>
      <c r="BB123">
        <v>1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13.92</v>
      </c>
      <c r="BP123">
        <v>1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17.4</v>
      </c>
      <c r="BW123">
        <v>1</v>
      </c>
      <c r="CX123">
        <f>Y123*Source!I46</f>
        <v>6.768599999999999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ht="12.75">
      <c r="A124">
        <f>ROW(Source!A46)</f>
        <v>46</v>
      </c>
      <c r="B124">
        <v>26994759</v>
      </c>
      <c r="C124">
        <v>27022839</v>
      </c>
      <c r="D124">
        <v>0</v>
      </c>
      <c r="E124">
        <v>1</v>
      </c>
      <c r="F124">
        <v>1</v>
      </c>
      <c r="G124">
        <v>1</v>
      </c>
      <c r="H124">
        <v>2</v>
      </c>
      <c r="I124" t="s">
        <v>483</v>
      </c>
      <c r="J124" t="s">
        <v>484</v>
      </c>
      <c r="K124" t="s">
        <v>485</v>
      </c>
      <c r="L124">
        <v>1368</v>
      </c>
      <c r="N124">
        <v>1011</v>
      </c>
      <c r="O124" t="s">
        <v>327</v>
      </c>
      <c r="P124" t="s">
        <v>327</v>
      </c>
      <c r="Q124">
        <v>1</v>
      </c>
      <c r="W124">
        <v>0</v>
      </c>
      <c r="X124">
        <v>1848758713</v>
      </c>
      <c r="Y124">
        <v>17.4</v>
      </c>
      <c r="AA124">
        <v>0</v>
      </c>
      <c r="AB124">
        <v>658.15</v>
      </c>
      <c r="AC124">
        <v>0</v>
      </c>
      <c r="AD124">
        <v>0</v>
      </c>
      <c r="AE124">
        <v>0</v>
      </c>
      <c r="AF124">
        <v>658.15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0</v>
      </c>
      <c r="AP124">
        <v>1</v>
      </c>
      <c r="AQ124">
        <v>1</v>
      </c>
      <c r="AR124">
        <v>0</v>
      </c>
      <c r="AT124">
        <v>13.92</v>
      </c>
      <c r="AU124" t="s">
        <v>17</v>
      </c>
      <c r="AV124">
        <v>0</v>
      </c>
      <c r="AW124">
        <v>1</v>
      </c>
      <c r="AX124">
        <v>-1</v>
      </c>
      <c r="AY124">
        <v>0</v>
      </c>
      <c r="AZ124">
        <v>0</v>
      </c>
      <c r="BB124">
        <v>1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9161.448</v>
      </c>
      <c r="BL124">
        <v>0</v>
      </c>
      <c r="BM124">
        <v>0</v>
      </c>
      <c r="BN124">
        <v>0</v>
      </c>
      <c r="BO124">
        <v>0</v>
      </c>
      <c r="BP124">
        <v>1</v>
      </c>
      <c r="BQ124">
        <v>0</v>
      </c>
      <c r="BR124">
        <v>11451.81</v>
      </c>
      <c r="BS124">
        <v>0</v>
      </c>
      <c r="BT124">
        <v>0</v>
      </c>
      <c r="BU124">
        <v>0</v>
      </c>
      <c r="BV124">
        <v>0</v>
      </c>
      <c r="BW124">
        <v>1</v>
      </c>
      <c r="CX124">
        <f>Y124*Source!I46</f>
        <v>6.768599999999999</v>
      </c>
      <c r="CY124">
        <f>AB124</f>
        <v>658.15</v>
      </c>
      <c r="CZ124">
        <f>AF124</f>
        <v>658.15</v>
      </c>
      <c r="DA124">
        <f>AJ124</f>
        <v>1</v>
      </c>
      <c r="DB124">
        <v>0</v>
      </c>
    </row>
    <row r="125" spans="1:106" ht="12.75">
      <c r="A125">
        <f>ROW(Source!A46)</f>
        <v>46</v>
      </c>
      <c r="B125">
        <v>26994759</v>
      </c>
      <c r="C125">
        <v>27022839</v>
      </c>
      <c r="D125">
        <v>0</v>
      </c>
      <c r="E125">
        <v>0</v>
      </c>
      <c r="F125">
        <v>1</v>
      </c>
      <c r="G125">
        <v>1</v>
      </c>
      <c r="H125">
        <v>3</v>
      </c>
      <c r="K125" t="s">
        <v>486</v>
      </c>
      <c r="L125">
        <v>1348</v>
      </c>
      <c r="N125">
        <v>1009</v>
      </c>
      <c r="O125" t="s">
        <v>203</v>
      </c>
      <c r="P125" t="s">
        <v>203</v>
      </c>
      <c r="Q125">
        <v>1000</v>
      </c>
      <c r="W125">
        <v>0</v>
      </c>
      <c r="X125">
        <v>2089251161</v>
      </c>
      <c r="Y125">
        <v>0.14</v>
      </c>
      <c r="AA125">
        <v>34745.76</v>
      </c>
      <c r="AB125">
        <v>0</v>
      </c>
      <c r="AC125">
        <v>0</v>
      </c>
      <c r="AD125">
        <v>0</v>
      </c>
      <c r="AE125">
        <v>34745.76</v>
      </c>
      <c r="AF125">
        <v>0</v>
      </c>
      <c r="AG125">
        <v>0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0</v>
      </c>
      <c r="AP125">
        <v>2</v>
      </c>
      <c r="AQ125">
        <v>1</v>
      </c>
      <c r="AR125">
        <v>0</v>
      </c>
      <c r="AT125">
        <v>0.14</v>
      </c>
      <c r="AV125">
        <v>0</v>
      </c>
      <c r="AW125">
        <v>1</v>
      </c>
      <c r="AX125">
        <v>-1</v>
      </c>
      <c r="AY125">
        <v>0</v>
      </c>
      <c r="AZ125">
        <v>0</v>
      </c>
      <c r="BB125">
        <v>1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4864.406400000001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1</v>
      </c>
      <c r="BQ125">
        <v>4864.406400000001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1</v>
      </c>
      <c r="CX125">
        <f>Y125*Source!I46</f>
        <v>0.05446000000000001</v>
      </c>
      <c r="CY125">
        <f>AA125</f>
        <v>34745.76</v>
      </c>
      <c r="CZ125">
        <f>AE125</f>
        <v>34745.76</v>
      </c>
      <c r="DA125">
        <f>AI125</f>
        <v>1</v>
      </c>
      <c r="DB125">
        <v>0</v>
      </c>
    </row>
    <row r="126" spans="1:106" ht="12.75">
      <c r="A126">
        <f>ROW(Source!A46)</f>
        <v>46</v>
      </c>
      <c r="B126">
        <v>26994759</v>
      </c>
      <c r="C126">
        <v>27022839</v>
      </c>
      <c r="D126">
        <v>24330261</v>
      </c>
      <c r="E126">
        <v>1</v>
      </c>
      <c r="F126">
        <v>1</v>
      </c>
      <c r="G126">
        <v>1</v>
      </c>
      <c r="H126">
        <v>3</v>
      </c>
      <c r="I126" t="s">
        <v>487</v>
      </c>
      <c r="J126" t="s">
        <v>488</v>
      </c>
      <c r="K126" t="s">
        <v>489</v>
      </c>
      <c r="L126">
        <v>1339</v>
      </c>
      <c r="N126">
        <v>1007</v>
      </c>
      <c r="O126" t="s">
        <v>377</v>
      </c>
      <c r="P126" t="s">
        <v>377</v>
      </c>
      <c r="Q126">
        <v>1</v>
      </c>
      <c r="W126">
        <v>0</v>
      </c>
      <c r="X126">
        <v>-405691298</v>
      </c>
      <c r="Y126">
        <v>0.19</v>
      </c>
      <c r="AA126">
        <v>5508.47</v>
      </c>
      <c r="AB126">
        <v>0</v>
      </c>
      <c r="AC126">
        <v>0</v>
      </c>
      <c r="AD126">
        <v>0</v>
      </c>
      <c r="AE126">
        <v>5508.47</v>
      </c>
      <c r="AF126">
        <v>0</v>
      </c>
      <c r="AG126">
        <v>0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0</v>
      </c>
      <c r="AP126">
        <v>0</v>
      </c>
      <c r="AQ126">
        <v>1</v>
      </c>
      <c r="AR126">
        <v>0</v>
      </c>
      <c r="AT126">
        <v>0.19</v>
      </c>
      <c r="AV126">
        <v>0</v>
      </c>
      <c r="AW126">
        <v>2</v>
      </c>
      <c r="AX126">
        <v>27022849</v>
      </c>
      <c r="AY126">
        <v>2</v>
      </c>
      <c r="AZ126">
        <v>16384</v>
      </c>
      <c r="BA126">
        <v>162</v>
      </c>
      <c r="BB126">
        <v>1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1046.6093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1</v>
      </c>
      <c r="BQ126">
        <v>1046.6093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1</v>
      </c>
      <c r="CX126">
        <f>Y126*Source!I46</f>
        <v>0.07391</v>
      </c>
      <c r="CY126">
        <f>AA126</f>
        <v>5508.47</v>
      </c>
      <c r="CZ126">
        <f>AE126</f>
        <v>5508.47</v>
      </c>
      <c r="DA126">
        <f>AI126</f>
        <v>1</v>
      </c>
      <c r="DB126">
        <v>0</v>
      </c>
    </row>
    <row r="127" spans="1:106" ht="12.75">
      <c r="A127">
        <f>ROW(Source!A46)</f>
        <v>46</v>
      </c>
      <c r="B127">
        <v>26994759</v>
      </c>
      <c r="C127">
        <v>27022839</v>
      </c>
      <c r="D127">
        <v>24786284</v>
      </c>
      <c r="E127">
        <v>1</v>
      </c>
      <c r="F127">
        <v>1</v>
      </c>
      <c r="G127">
        <v>1</v>
      </c>
      <c r="H127">
        <v>3</v>
      </c>
      <c r="I127" t="s">
        <v>490</v>
      </c>
      <c r="J127" t="s">
        <v>491</v>
      </c>
      <c r="K127" t="s">
        <v>492</v>
      </c>
      <c r="L127">
        <v>1339</v>
      </c>
      <c r="N127">
        <v>1007</v>
      </c>
      <c r="O127" t="s">
        <v>377</v>
      </c>
      <c r="P127" t="s">
        <v>377</v>
      </c>
      <c r="Q127">
        <v>1</v>
      </c>
      <c r="W127">
        <v>0</v>
      </c>
      <c r="X127">
        <v>-349937075</v>
      </c>
      <c r="Y127">
        <v>25.5</v>
      </c>
      <c r="AA127">
        <v>4576.27</v>
      </c>
      <c r="AB127">
        <v>0</v>
      </c>
      <c r="AC127">
        <v>0</v>
      </c>
      <c r="AD127">
        <v>0</v>
      </c>
      <c r="AE127">
        <v>4576.27</v>
      </c>
      <c r="AF127">
        <v>0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0</v>
      </c>
      <c r="AP127">
        <v>0</v>
      </c>
      <c r="AQ127">
        <v>1</v>
      </c>
      <c r="AR127">
        <v>0</v>
      </c>
      <c r="AT127">
        <v>25.5</v>
      </c>
      <c r="AV127">
        <v>0</v>
      </c>
      <c r="AW127">
        <v>2</v>
      </c>
      <c r="AX127">
        <v>27022850</v>
      </c>
      <c r="AY127">
        <v>2</v>
      </c>
      <c r="AZ127">
        <v>16384</v>
      </c>
      <c r="BA127">
        <v>163</v>
      </c>
      <c r="BB127">
        <v>1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116694.88500000001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1</v>
      </c>
      <c r="BQ127">
        <v>116694.88500000001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1</v>
      </c>
      <c r="CX127">
        <f>Y127*Source!I46</f>
        <v>9.919500000000001</v>
      </c>
      <c r="CY127">
        <f>AA127</f>
        <v>4576.27</v>
      </c>
      <c r="CZ127">
        <f>AE127</f>
        <v>4576.27</v>
      </c>
      <c r="DA127">
        <f>AI127</f>
        <v>1</v>
      </c>
      <c r="DB127">
        <v>0</v>
      </c>
    </row>
    <row r="128" spans="1:106" ht="12.75">
      <c r="A128">
        <f>ROW(Source!A47)</f>
        <v>47</v>
      </c>
      <c r="B128">
        <v>26994759</v>
      </c>
      <c r="C128">
        <v>26995384</v>
      </c>
      <c r="D128">
        <v>9419296</v>
      </c>
      <c r="E128">
        <v>1</v>
      </c>
      <c r="F128">
        <v>1</v>
      </c>
      <c r="G128">
        <v>1</v>
      </c>
      <c r="H128">
        <v>1</v>
      </c>
      <c r="I128" t="s">
        <v>493</v>
      </c>
      <c r="K128" t="s">
        <v>494</v>
      </c>
      <c r="L128">
        <v>1369</v>
      </c>
      <c r="N128">
        <v>1013</v>
      </c>
      <c r="O128" t="s">
        <v>323</v>
      </c>
      <c r="P128" t="s">
        <v>323</v>
      </c>
      <c r="Q128">
        <v>1</v>
      </c>
      <c r="W128">
        <v>0</v>
      </c>
      <c r="X128">
        <v>-152249182</v>
      </c>
      <c r="Y128">
        <v>8.325999999999999</v>
      </c>
      <c r="AA128">
        <v>0</v>
      </c>
      <c r="AB128">
        <v>0</v>
      </c>
      <c r="AC128">
        <v>0</v>
      </c>
      <c r="AD128">
        <v>154.76</v>
      </c>
      <c r="AE128">
        <v>0</v>
      </c>
      <c r="AF128">
        <v>0</v>
      </c>
      <c r="AG128">
        <v>0</v>
      </c>
      <c r="AH128">
        <v>154.76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0</v>
      </c>
      <c r="AP128">
        <v>1</v>
      </c>
      <c r="AQ128">
        <v>1</v>
      </c>
      <c r="AR128">
        <v>0</v>
      </c>
      <c r="AT128">
        <v>7.24</v>
      </c>
      <c r="AU128" t="s">
        <v>18</v>
      </c>
      <c r="AV128">
        <v>1</v>
      </c>
      <c r="AW128">
        <v>2</v>
      </c>
      <c r="AX128">
        <v>26995395</v>
      </c>
      <c r="AY128">
        <v>2</v>
      </c>
      <c r="AZ128">
        <v>131072</v>
      </c>
      <c r="BA128">
        <v>165</v>
      </c>
      <c r="BB128">
        <v>1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1120.4624</v>
      </c>
      <c r="BN128">
        <v>7.24</v>
      </c>
      <c r="BO128">
        <v>0</v>
      </c>
      <c r="BP128">
        <v>1</v>
      </c>
      <c r="BQ128">
        <v>0</v>
      </c>
      <c r="BR128">
        <v>0</v>
      </c>
      <c r="BS128">
        <v>0</v>
      </c>
      <c r="BT128">
        <v>1288.5317599999996</v>
      </c>
      <c r="BU128">
        <v>8.325999999999999</v>
      </c>
      <c r="BV128">
        <v>0</v>
      </c>
      <c r="BW128">
        <v>1</v>
      </c>
      <c r="CX128">
        <f>Y128*Source!I47</f>
        <v>383.6037979999999</v>
      </c>
      <c r="CY128">
        <f>AD128</f>
        <v>154.76</v>
      </c>
      <c r="CZ128">
        <f>AH128</f>
        <v>154.76</v>
      </c>
      <c r="DA128">
        <f>AL128</f>
        <v>1</v>
      </c>
      <c r="DB128">
        <v>0</v>
      </c>
    </row>
    <row r="129" spans="1:106" ht="12.75">
      <c r="A129">
        <f>ROW(Source!A47)</f>
        <v>47</v>
      </c>
      <c r="B129">
        <v>26994759</v>
      </c>
      <c r="C129">
        <v>26995384</v>
      </c>
      <c r="D129">
        <v>121548</v>
      </c>
      <c r="E129">
        <v>1</v>
      </c>
      <c r="F129">
        <v>1</v>
      </c>
      <c r="G129">
        <v>1</v>
      </c>
      <c r="H129">
        <v>1</v>
      </c>
      <c r="I129" t="s">
        <v>26</v>
      </c>
      <c r="K129" t="s">
        <v>358</v>
      </c>
      <c r="L129">
        <v>608254</v>
      </c>
      <c r="N129">
        <v>1013</v>
      </c>
      <c r="O129" t="s">
        <v>359</v>
      </c>
      <c r="P129" t="s">
        <v>359</v>
      </c>
      <c r="Q129">
        <v>1</v>
      </c>
      <c r="W129">
        <v>0</v>
      </c>
      <c r="X129">
        <v>-185737400</v>
      </c>
      <c r="Y129">
        <v>0.0125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0</v>
      </c>
      <c r="AP129">
        <v>1</v>
      </c>
      <c r="AQ129">
        <v>1</v>
      </c>
      <c r="AR129">
        <v>0</v>
      </c>
      <c r="AT129">
        <v>0.01</v>
      </c>
      <c r="AU129" t="s">
        <v>17</v>
      </c>
      <c r="AV129">
        <v>2</v>
      </c>
      <c r="AW129">
        <v>2</v>
      </c>
      <c r="AX129">
        <v>26995396</v>
      </c>
      <c r="AY129">
        <v>1</v>
      </c>
      <c r="AZ129">
        <v>0</v>
      </c>
      <c r="BA129">
        <v>166</v>
      </c>
      <c r="BB129">
        <v>1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0.01</v>
      </c>
      <c r="BP129">
        <v>1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0.0125</v>
      </c>
      <c r="BW129">
        <v>1</v>
      </c>
      <c r="CX129">
        <f>Y129*Source!I47</f>
        <v>0.5759125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ht="12.75">
      <c r="A130">
        <f>ROW(Source!A47)</f>
        <v>47</v>
      </c>
      <c r="B130">
        <v>26994759</v>
      </c>
      <c r="C130">
        <v>26995384</v>
      </c>
      <c r="D130">
        <v>24265924</v>
      </c>
      <c r="E130">
        <v>1</v>
      </c>
      <c r="F130">
        <v>1</v>
      </c>
      <c r="G130">
        <v>1</v>
      </c>
      <c r="H130">
        <v>2</v>
      </c>
      <c r="I130" t="s">
        <v>436</v>
      </c>
      <c r="J130" t="s">
        <v>445</v>
      </c>
      <c r="K130" t="s">
        <v>438</v>
      </c>
      <c r="L130">
        <v>1368</v>
      </c>
      <c r="N130">
        <v>1011</v>
      </c>
      <c r="O130" t="s">
        <v>327</v>
      </c>
      <c r="P130" t="s">
        <v>327</v>
      </c>
      <c r="Q130">
        <v>1</v>
      </c>
      <c r="W130">
        <v>0</v>
      </c>
      <c r="X130">
        <v>2138795948</v>
      </c>
      <c r="Y130">
        <v>0.0125</v>
      </c>
      <c r="AA130">
        <v>0</v>
      </c>
      <c r="AB130">
        <v>490.2</v>
      </c>
      <c r="AC130">
        <v>0</v>
      </c>
      <c r="AD130">
        <v>0</v>
      </c>
      <c r="AE130">
        <v>0</v>
      </c>
      <c r="AF130">
        <v>490.2</v>
      </c>
      <c r="AG130">
        <v>0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0</v>
      </c>
      <c r="AP130">
        <v>1</v>
      </c>
      <c r="AQ130">
        <v>1</v>
      </c>
      <c r="AR130">
        <v>0</v>
      </c>
      <c r="AT130">
        <v>0.01</v>
      </c>
      <c r="AU130" t="s">
        <v>17</v>
      </c>
      <c r="AV130">
        <v>0</v>
      </c>
      <c r="AW130">
        <v>2</v>
      </c>
      <c r="AX130">
        <v>26995397</v>
      </c>
      <c r="AY130">
        <v>2</v>
      </c>
      <c r="AZ130">
        <v>98304</v>
      </c>
      <c r="BA130">
        <v>167</v>
      </c>
      <c r="BB130">
        <v>1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4.902</v>
      </c>
      <c r="BL130">
        <v>0</v>
      </c>
      <c r="BM130">
        <v>0</v>
      </c>
      <c r="BN130">
        <v>0</v>
      </c>
      <c r="BO130">
        <v>0</v>
      </c>
      <c r="BP130">
        <v>1</v>
      </c>
      <c r="BQ130">
        <v>0</v>
      </c>
      <c r="BR130">
        <v>6.1275</v>
      </c>
      <c r="BS130">
        <v>0</v>
      </c>
      <c r="BT130">
        <v>0</v>
      </c>
      <c r="BU130">
        <v>0</v>
      </c>
      <c r="BV130">
        <v>0</v>
      </c>
      <c r="BW130">
        <v>1</v>
      </c>
      <c r="CX130">
        <f>Y130*Source!I47</f>
        <v>0.5759125</v>
      </c>
      <c r="CY130">
        <f>AB130</f>
        <v>490.2</v>
      </c>
      <c r="CZ130">
        <f>AF130</f>
        <v>490.2</v>
      </c>
      <c r="DA130">
        <f>AJ130</f>
        <v>1</v>
      </c>
      <c r="DB130">
        <v>0</v>
      </c>
    </row>
    <row r="131" spans="1:106" ht="12.75">
      <c r="A131">
        <f>ROW(Source!A47)</f>
        <v>47</v>
      </c>
      <c r="B131">
        <v>26994759</v>
      </c>
      <c r="C131">
        <v>26995384</v>
      </c>
      <c r="D131">
        <v>24316761</v>
      </c>
      <c r="E131">
        <v>1</v>
      </c>
      <c r="F131">
        <v>1</v>
      </c>
      <c r="G131">
        <v>1</v>
      </c>
      <c r="H131">
        <v>2</v>
      </c>
      <c r="I131" t="s">
        <v>418</v>
      </c>
      <c r="J131" t="s">
        <v>419</v>
      </c>
      <c r="K131" t="s">
        <v>420</v>
      </c>
      <c r="L131">
        <v>1368</v>
      </c>
      <c r="N131">
        <v>1011</v>
      </c>
      <c r="O131" t="s">
        <v>327</v>
      </c>
      <c r="P131" t="s">
        <v>327</v>
      </c>
      <c r="Q131">
        <v>1</v>
      </c>
      <c r="W131">
        <v>0</v>
      </c>
      <c r="X131">
        <v>1793891640</v>
      </c>
      <c r="Y131">
        <v>0.0125</v>
      </c>
      <c r="AA131">
        <v>0</v>
      </c>
      <c r="AB131">
        <v>5.76</v>
      </c>
      <c r="AC131">
        <v>0</v>
      </c>
      <c r="AD131">
        <v>0</v>
      </c>
      <c r="AE131">
        <v>0</v>
      </c>
      <c r="AF131">
        <v>5.76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0</v>
      </c>
      <c r="AP131">
        <v>1</v>
      </c>
      <c r="AQ131">
        <v>1</v>
      </c>
      <c r="AR131">
        <v>0</v>
      </c>
      <c r="AT131">
        <v>0.01</v>
      </c>
      <c r="AU131" t="s">
        <v>17</v>
      </c>
      <c r="AV131">
        <v>0</v>
      </c>
      <c r="AW131">
        <v>2</v>
      </c>
      <c r="AX131">
        <v>26995398</v>
      </c>
      <c r="AY131">
        <v>2</v>
      </c>
      <c r="AZ131">
        <v>32768</v>
      </c>
      <c r="BA131">
        <v>168</v>
      </c>
      <c r="BB131">
        <v>1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0.0576</v>
      </c>
      <c r="BL131">
        <v>0</v>
      </c>
      <c r="BM131">
        <v>0</v>
      </c>
      <c r="BN131">
        <v>0</v>
      </c>
      <c r="BO131">
        <v>0</v>
      </c>
      <c r="BP131">
        <v>1</v>
      </c>
      <c r="BQ131">
        <v>0</v>
      </c>
      <c r="BR131">
        <v>0.072</v>
      </c>
      <c r="BS131">
        <v>0</v>
      </c>
      <c r="BT131">
        <v>0</v>
      </c>
      <c r="BU131">
        <v>0</v>
      </c>
      <c r="BV131">
        <v>0</v>
      </c>
      <c r="BW131">
        <v>1</v>
      </c>
      <c r="CX131">
        <f>Y131*Source!I47</f>
        <v>0.5759125</v>
      </c>
      <c r="CY131">
        <f>AB131</f>
        <v>5.76</v>
      </c>
      <c r="CZ131">
        <f>AF131</f>
        <v>5.76</v>
      </c>
      <c r="DA131">
        <f>AJ131</f>
        <v>1</v>
      </c>
      <c r="DB131">
        <v>0</v>
      </c>
    </row>
    <row r="132" spans="1:106" ht="12.75">
      <c r="A132">
        <f>ROW(Source!A47)</f>
        <v>47</v>
      </c>
      <c r="B132">
        <v>26994759</v>
      </c>
      <c r="C132">
        <v>26995384</v>
      </c>
      <c r="D132">
        <v>24334494</v>
      </c>
      <c r="E132">
        <v>1</v>
      </c>
      <c r="F132">
        <v>1</v>
      </c>
      <c r="G132">
        <v>1</v>
      </c>
      <c r="H132">
        <v>2</v>
      </c>
      <c r="I132" t="s">
        <v>495</v>
      </c>
      <c r="J132" t="s">
        <v>496</v>
      </c>
      <c r="K132" t="s">
        <v>497</v>
      </c>
      <c r="L132">
        <v>1368</v>
      </c>
      <c r="N132">
        <v>1011</v>
      </c>
      <c r="O132" t="s">
        <v>327</v>
      </c>
      <c r="P132" t="s">
        <v>327</v>
      </c>
      <c r="Q132">
        <v>1</v>
      </c>
      <c r="W132">
        <v>0</v>
      </c>
      <c r="X132">
        <v>-2087953370</v>
      </c>
      <c r="Y132">
        <v>0.5</v>
      </c>
      <c r="AA132">
        <v>0</v>
      </c>
      <c r="AB132">
        <v>45.88</v>
      </c>
      <c r="AC132">
        <v>0</v>
      </c>
      <c r="AD132">
        <v>0</v>
      </c>
      <c r="AE132">
        <v>0</v>
      </c>
      <c r="AF132">
        <v>45.88</v>
      </c>
      <c r="AG132">
        <v>0</v>
      </c>
      <c r="AH132">
        <v>0</v>
      </c>
      <c r="AI132">
        <v>1</v>
      </c>
      <c r="AJ132">
        <v>1</v>
      </c>
      <c r="AK132">
        <v>1</v>
      </c>
      <c r="AL132">
        <v>1</v>
      </c>
      <c r="AN132">
        <v>0</v>
      </c>
      <c r="AO132">
        <v>0</v>
      </c>
      <c r="AP132">
        <v>1</v>
      </c>
      <c r="AQ132">
        <v>1</v>
      </c>
      <c r="AR132">
        <v>0</v>
      </c>
      <c r="AT132">
        <v>0.4</v>
      </c>
      <c r="AU132" t="s">
        <v>17</v>
      </c>
      <c r="AV132">
        <v>0</v>
      </c>
      <c r="AW132">
        <v>2</v>
      </c>
      <c r="AX132">
        <v>26995399</v>
      </c>
      <c r="AY132">
        <v>2</v>
      </c>
      <c r="AZ132">
        <v>32768</v>
      </c>
      <c r="BA132">
        <v>169</v>
      </c>
      <c r="BB132">
        <v>1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18.352</v>
      </c>
      <c r="BL132">
        <v>0</v>
      </c>
      <c r="BM132">
        <v>0</v>
      </c>
      <c r="BN132">
        <v>0</v>
      </c>
      <c r="BO132">
        <v>0</v>
      </c>
      <c r="BP132">
        <v>1</v>
      </c>
      <c r="BQ132">
        <v>0</v>
      </c>
      <c r="BR132">
        <v>22.94</v>
      </c>
      <c r="BS132">
        <v>0</v>
      </c>
      <c r="BT132">
        <v>0</v>
      </c>
      <c r="BU132">
        <v>0</v>
      </c>
      <c r="BV132">
        <v>0</v>
      </c>
      <c r="BW132">
        <v>1</v>
      </c>
      <c r="CX132">
        <f>Y132*Source!I47</f>
        <v>23.0365</v>
      </c>
      <c r="CY132">
        <f>AB132</f>
        <v>45.88</v>
      </c>
      <c r="CZ132">
        <f>AF132</f>
        <v>45.88</v>
      </c>
      <c r="DA132">
        <f>AJ132</f>
        <v>1</v>
      </c>
      <c r="DB132">
        <v>0</v>
      </c>
    </row>
    <row r="133" spans="1:106" ht="12.75">
      <c r="A133">
        <f>ROW(Source!A47)</f>
        <v>47</v>
      </c>
      <c r="B133">
        <v>26994759</v>
      </c>
      <c r="C133">
        <v>26995384</v>
      </c>
      <c r="D133">
        <v>24262102</v>
      </c>
      <c r="E133">
        <v>1</v>
      </c>
      <c r="F133">
        <v>1</v>
      </c>
      <c r="G133">
        <v>1</v>
      </c>
      <c r="H133">
        <v>2</v>
      </c>
      <c r="I133" t="s">
        <v>371</v>
      </c>
      <c r="J133" t="s">
        <v>372</v>
      </c>
      <c r="K133" t="s">
        <v>373</v>
      </c>
      <c r="L133">
        <v>1368</v>
      </c>
      <c r="N133">
        <v>1011</v>
      </c>
      <c r="O133" t="s">
        <v>327</v>
      </c>
      <c r="P133" t="s">
        <v>327</v>
      </c>
      <c r="Q133">
        <v>1</v>
      </c>
      <c r="W133">
        <v>0</v>
      </c>
      <c r="X133">
        <v>596191924</v>
      </c>
      <c r="Y133">
        <v>0.0125</v>
      </c>
      <c r="AA133">
        <v>0</v>
      </c>
      <c r="AB133">
        <v>691.3</v>
      </c>
      <c r="AC133">
        <v>0</v>
      </c>
      <c r="AD133">
        <v>0</v>
      </c>
      <c r="AE133">
        <v>0</v>
      </c>
      <c r="AF133">
        <v>691.3</v>
      </c>
      <c r="AG133">
        <v>0</v>
      </c>
      <c r="AH133">
        <v>0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0</v>
      </c>
      <c r="AP133">
        <v>1</v>
      </c>
      <c r="AQ133">
        <v>1</v>
      </c>
      <c r="AR133">
        <v>0</v>
      </c>
      <c r="AT133">
        <v>0.01</v>
      </c>
      <c r="AU133" t="s">
        <v>17</v>
      </c>
      <c r="AV133">
        <v>0</v>
      </c>
      <c r="AW133">
        <v>2</v>
      </c>
      <c r="AX133">
        <v>26995400</v>
      </c>
      <c r="AY133">
        <v>2</v>
      </c>
      <c r="AZ133">
        <v>98304</v>
      </c>
      <c r="BA133">
        <v>170</v>
      </c>
      <c r="BB133">
        <v>1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6.912999999999999</v>
      </c>
      <c r="BL133">
        <v>0</v>
      </c>
      <c r="BM133">
        <v>0</v>
      </c>
      <c r="BN133">
        <v>0</v>
      </c>
      <c r="BO133">
        <v>0</v>
      </c>
      <c r="BP133">
        <v>1</v>
      </c>
      <c r="BQ133">
        <v>0</v>
      </c>
      <c r="BR133">
        <v>8.64125</v>
      </c>
      <c r="BS133">
        <v>0</v>
      </c>
      <c r="BT133">
        <v>0</v>
      </c>
      <c r="BU133">
        <v>0</v>
      </c>
      <c r="BV133">
        <v>0</v>
      </c>
      <c r="BW133">
        <v>1</v>
      </c>
      <c r="CX133">
        <f>Y133*Source!I47</f>
        <v>0.5759125</v>
      </c>
      <c r="CY133">
        <f>AB133</f>
        <v>691.3</v>
      </c>
      <c r="CZ133">
        <f>AF133</f>
        <v>691.3</v>
      </c>
      <c r="DA133">
        <f>AJ133</f>
        <v>1</v>
      </c>
      <c r="DB133">
        <v>0</v>
      </c>
    </row>
    <row r="134" spans="1:106" ht="12.75">
      <c r="A134">
        <f>ROW(Source!A47)</f>
        <v>47</v>
      </c>
      <c r="B134">
        <v>26994759</v>
      </c>
      <c r="C134">
        <v>26995384</v>
      </c>
      <c r="D134">
        <v>24317480</v>
      </c>
      <c r="E134">
        <v>1</v>
      </c>
      <c r="F134">
        <v>1</v>
      </c>
      <c r="G134">
        <v>1</v>
      </c>
      <c r="H134">
        <v>3</v>
      </c>
      <c r="I134" t="s">
        <v>498</v>
      </c>
      <c r="J134" t="s">
        <v>499</v>
      </c>
      <c r="K134" t="s">
        <v>500</v>
      </c>
      <c r="L134">
        <v>1348</v>
      </c>
      <c r="N134">
        <v>1009</v>
      </c>
      <c r="O134" t="s">
        <v>203</v>
      </c>
      <c r="P134" t="s">
        <v>203</v>
      </c>
      <c r="Q134">
        <v>1000</v>
      </c>
      <c r="W134">
        <v>0</v>
      </c>
      <c r="X134">
        <v>-1859422848</v>
      </c>
      <c r="Y134">
        <v>0.00028</v>
      </c>
      <c r="AA134">
        <v>39874.56</v>
      </c>
      <c r="AB134">
        <v>0</v>
      </c>
      <c r="AC134">
        <v>0</v>
      </c>
      <c r="AD134">
        <v>0</v>
      </c>
      <c r="AE134">
        <v>39874.56</v>
      </c>
      <c r="AF134">
        <v>0</v>
      </c>
      <c r="AG134">
        <v>0</v>
      </c>
      <c r="AH134">
        <v>0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0</v>
      </c>
      <c r="AP134">
        <v>0</v>
      </c>
      <c r="AQ134">
        <v>1</v>
      </c>
      <c r="AR134">
        <v>0</v>
      </c>
      <c r="AT134">
        <v>0.00028</v>
      </c>
      <c r="AV134">
        <v>0</v>
      </c>
      <c r="AW134">
        <v>2</v>
      </c>
      <c r="AX134">
        <v>26995401</v>
      </c>
      <c r="AY134">
        <v>2</v>
      </c>
      <c r="AZ134">
        <v>16384</v>
      </c>
      <c r="BA134">
        <v>171</v>
      </c>
      <c r="BB134">
        <v>1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11.164876799999998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1</v>
      </c>
      <c r="BQ134">
        <v>11.164876799999998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1</v>
      </c>
      <c r="CX134">
        <f>Y134*Source!I47</f>
        <v>0.012900439999999999</v>
      </c>
      <c r="CY134">
        <f>AA134</f>
        <v>39874.56</v>
      </c>
      <c r="CZ134">
        <f>AE134</f>
        <v>39874.56</v>
      </c>
      <c r="DA134">
        <f>AI134</f>
        <v>1</v>
      </c>
      <c r="DB134">
        <v>0</v>
      </c>
    </row>
    <row r="135" spans="1:106" ht="12.75">
      <c r="A135">
        <f>ROW(Source!A47)</f>
        <v>47</v>
      </c>
      <c r="B135">
        <v>26994759</v>
      </c>
      <c r="C135">
        <v>26995384</v>
      </c>
      <c r="D135">
        <v>24334447</v>
      </c>
      <c r="E135">
        <v>1</v>
      </c>
      <c r="F135">
        <v>1</v>
      </c>
      <c r="G135">
        <v>1</v>
      </c>
      <c r="H135">
        <v>3</v>
      </c>
      <c r="I135" t="s">
        <v>501</v>
      </c>
      <c r="J135" t="s">
        <v>502</v>
      </c>
      <c r="K135" t="s">
        <v>503</v>
      </c>
      <c r="L135">
        <v>1346</v>
      </c>
      <c r="N135">
        <v>1009</v>
      </c>
      <c r="O135" t="s">
        <v>341</v>
      </c>
      <c r="P135" t="s">
        <v>341</v>
      </c>
      <c r="Q135">
        <v>1</v>
      </c>
      <c r="W135">
        <v>0</v>
      </c>
      <c r="X135">
        <v>1375923348</v>
      </c>
      <c r="Y135">
        <v>1.6</v>
      </c>
      <c r="AA135">
        <v>247.12</v>
      </c>
      <c r="AB135">
        <v>0</v>
      </c>
      <c r="AC135">
        <v>0</v>
      </c>
      <c r="AD135">
        <v>0</v>
      </c>
      <c r="AE135">
        <v>247.12</v>
      </c>
      <c r="AF135">
        <v>0</v>
      </c>
      <c r="AG135">
        <v>0</v>
      </c>
      <c r="AH135">
        <v>0</v>
      </c>
      <c r="AI135">
        <v>1</v>
      </c>
      <c r="AJ135">
        <v>1</v>
      </c>
      <c r="AK135">
        <v>1</v>
      </c>
      <c r="AL135">
        <v>1</v>
      </c>
      <c r="AN135">
        <v>0</v>
      </c>
      <c r="AO135">
        <v>0</v>
      </c>
      <c r="AP135">
        <v>0</v>
      </c>
      <c r="AQ135">
        <v>1</v>
      </c>
      <c r="AR135">
        <v>0</v>
      </c>
      <c r="AT135">
        <v>1.6</v>
      </c>
      <c r="AV135">
        <v>0</v>
      </c>
      <c r="AW135">
        <v>2</v>
      </c>
      <c r="AX135">
        <v>26995402</v>
      </c>
      <c r="AY135">
        <v>2</v>
      </c>
      <c r="AZ135">
        <v>16384</v>
      </c>
      <c r="BA135">
        <v>172</v>
      </c>
      <c r="BB135">
        <v>1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395.39200000000005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1</v>
      </c>
      <c r="BQ135">
        <v>395.39200000000005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1</v>
      </c>
      <c r="CX135">
        <f>Y135*Source!I47</f>
        <v>73.7168</v>
      </c>
      <c r="CY135">
        <f>AA135</f>
        <v>247.12</v>
      </c>
      <c r="CZ135">
        <f>AE135</f>
        <v>247.12</v>
      </c>
      <c r="DA135">
        <f>AI135</f>
        <v>1</v>
      </c>
      <c r="DB135">
        <v>0</v>
      </c>
    </row>
    <row r="136" spans="1:106" ht="12.75">
      <c r="A136">
        <f>ROW(Source!A47)</f>
        <v>47</v>
      </c>
      <c r="B136">
        <v>26994759</v>
      </c>
      <c r="C136">
        <v>26995384</v>
      </c>
      <c r="D136">
        <v>24334448</v>
      </c>
      <c r="E136">
        <v>1</v>
      </c>
      <c r="F136">
        <v>1</v>
      </c>
      <c r="G136">
        <v>1</v>
      </c>
      <c r="H136">
        <v>3</v>
      </c>
      <c r="I136" t="s">
        <v>504</v>
      </c>
      <c r="J136" t="s">
        <v>505</v>
      </c>
      <c r="K136" t="s">
        <v>506</v>
      </c>
      <c r="L136">
        <v>1348</v>
      </c>
      <c r="N136">
        <v>1009</v>
      </c>
      <c r="O136" t="s">
        <v>203</v>
      </c>
      <c r="P136" t="s">
        <v>203</v>
      </c>
      <c r="Q136">
        <v>1000</v>
      </c>
      <c r="W136">
        <v>0</v>
      </c>
      <c r="X136">
        <v>284443302</v>
      </c>
      <c r="Y136">
        <v>0.00028</v>
      </c>
      <c r="AA136">
        <v>81420</v>
      </c>
      <c r="AB136">
        <v>0</v>
      </c>
      <c r="AC136">
        <v>0</v>
      </c>
      <c r="AD136">
        <v>0</v>
      </c>
      <c r="AE136">
        <v>81420</v>
      </c>
      <c r="AF136">
        <v>0</v>
      </c>
      <c r="AG136">
        <v>0</v>
      </c>
      <c r="AH136">
        <v>0</v>
      </c>
      <c r="AI136">
        <v>1</v>
      </c>
      <c r="AJ136">
        <v>1</v>
      </c>
      <c r="AK136">
        <v>1</v>
      </c>
      <c r="AL136">
        <v>1</v>
      </c>
      <c r="AN136">
        <v>0</v>
      </c>
      <c r="AO136">
        <v>0</v>
      </c>
      <c r="AP136">
        <v>0</v>
      </c>
      <c r="AQ136">
        <v>1</v>
      </c>
      <c r="AR136">
        <v>0</v>
      </c>
      <c r="AT136">
        <v>0.00028</v>
      </c>
      <c r="AV136">
        <v>0</v>
      </c>
      <c r="AW136">
        <v>2</v>
      </c>
      <c r="AX136">
        <v>26995403</v>
      </c>
      <c r="AY136">
        <v>2</v>
      </c>
      <c r="AZ136">
        <v>16384</v>
      </c>
      <c r="BA136">
        <v>173</v>
      </c>
      <c r="BB136">
        <v>1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22.7976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1</v>
      </c>
      <c r="BQ136">
        <v>22.7976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1</v>
      </c>
      <c r="CX136">
        <f>Y136*Source!I47</f>
        <v>0.012900439999999999</v>
      </c>
      <c r="CY136">
        <f>AA136</f>
        <v>81420</v>
      </c>
      <c r="CZ136">
        <f>AE136</f>
        <v>81420</v>
      </c>
      <c r="DA136">
        <f>AI136</f>
        <v>1</v>
      </c>
      <c r="DB136">
        <v>0</v>
      </c>
    </row>
    <row r="137" spans="1:106" ht="12.75">
      <c r="A137">
        <f>ROW(Source!A47)</f>
        <v>47</v>
      </c>
      <c r="B137">
        <v>26994759</v>
      </c>
      <c r="C137">
        <v>26995384</v>
      </c>
      <c r="D137">
        <v>24334475</v>
      </c>
      <c r="E137">
        <v>1</v>
      </c>
      <c r="F137">
        <v>1</v>
      </c>
      <c r="G137">
        <v>1</v>
      </c>
      <c r="H137">
        <v>3</v>
      </c>
      <c r="I137" t="s">
        <v>507</v>
      </c>
      <c r="J137" t="s">
        <v>508</v>
      </c>
      <c r="K137" t="s">
        <v>509</v>
      </c>
      <c r="L137">
        <v>1348</v>
      </c>
      <c r="N137">
        <v>1009</v>
      </c>
      <c r="O137" t="s">
        <v>203</v>
      </c>
      <c r="P137" t="s">
        <v>203</v>
      </c>
      <c r="Q137">
        <v>1000</v>
      </c>
      <c r="W137">
        <v>0</v>
      </c>
      <c r="X137">
        <v>-1238732844</v>
      </c>
      <c r="Y137">
        <v>0.0076</v>
      </c>
      <c r="AA137">
        <v>183264</v>
      </c>
      <c r="AB137">
        <v>0</v>
      </c>
      <c r="AC137">
        <v>0</v>
      </c>
      <c r="AD137">
        <v>0</v>
      </c>
      <c r="AE137">
        <v>183264</v>
      </c>
      <c r="AF137">
        <v>0</v>
      </c>
      <c r="AG137">
        <v>0</v>
      </c>
      <c r="AH137">
        <v>0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0</v>
      </c>
      <c r="AP137">
        <v>0</v>
      </c>
      <c r="AQ137">
        <v>1</v>
      </c>
      <c r="AR137">
        <v>0</v>
      </c>
      <c r="AT137">
        <v>0.0076</v>
      </c>
      <c r="AV137">
        <v>0</v>
      </c>
      <c r="AW137">
        <v>2</v>
      </c>
      <c r="AX137">
        <v>26995404</v>
      </c>
      <c r="AY137">
        <v>2</v>
      </c>
      <c r="AZ137">
        <v>16384</v>
      </c>
      <c r="BA137">
        <v>174</v>
      </c>
      <c r="BB137">
        <v>1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1392.8064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1</v>
      </c>
      <c r="BQ137">
        <v>1392.8064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1</v>
      </c>
      <c r="CX137">
        <f>Y137*Source!I47</f>
        <v>0.3501548</v>
      </c>
      <c r="CY137">
        <f>AA137</f>
        <v>183264</v>
      </c>
      <c r="CZ137">
        <f>AE137</f>
        <v>183264</v>
      </c>
      <c r="DA137">
        <f>AI137</f>
        <v>1</v>
      </c>
      <c r="DB137">
        <v>0</v>
      </c>
    </row>
    <row r="138" spans="1:106" ht="12.75">
      <c r="A138">
        <f>ROW(Source!A48)</f>
        <v>48</v>
      </c>
      <c r="B138">
        <v>26994759</v>
      </c>
      <c r="C138">
        <v>26995405</v>
      </c>
      <c r="D138">
        <v>9419296</v>
      </c>
      <c r="E138">
        <v>1</v>
      </c>
      <c r="F138">
        <v>1</v>
      </c>
      <c r="G138">
        <v>1</v>
      </c>
      <c r="H138">
        <v>1</v>
      </c>
      <c r="I138" t="s">
        <v>493</v>
      </c>
      <c r="K138" t="s">
        <v>494</v>
      </c>
      <c r="L138">
        <v>1369</v>
      </c>
      <c r="N138">
        <v>1013</v>
      </c>
      <c r="O138" t="s">
        <v>323</v>
      </c>
      <c r="P138" t="s">
        <v>323</v>
      </c>
      <c r="Q138">
        <v>1</v>
      </c>
      <c r="W138">
        <v>0</v>
      </c>
      <c r="X138">
        <v>-152249182</v>
      </c>
      <c r="Y138">
        <v>4.4045</v>
      </c>
      <c r="AA138">
        <v>0</v>
      </c>
      <c r="AB138">
        <v>0</v>
      </c>
      <c r="AC138">
        <v>0</v>
      </c>
      <c r="AD138">
        <v>154.76</v>
      </c>
      <c r="AE138">
        <v>0</v>
      </c>
      <c r="AF138">
        <v>0</v>
      </c>
      <c r="AG138">
        <v>0</v>
      </c>
      <c r="AH138">
        <v>154.76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1</v>
      </c>
      <c r="AQ138">
        <v>1</v>
      </c>
      <c r="AR138">
        <v>0</v>
      </c>
      <c r="AT138">
        <v>3.83</v>
      </c>
      <c r="AU138" t="s">
        <v>18</v>
      </c>
      <c r="AV138">
        <v>1</v>
      </c>
      <c r="AW138">
        <v>2</v>
      </c>
      <c r="AX138">
        <v>26995417</v>
      </c>
      <c r="AY138">
        <v>2</v>
      </c>
      <c r="AZ138">
        <v>131072</v>
      </c>
      <c r="BA138">
        <v>175</v>
      </c>
      <c r="BB138">
        <v>1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592.7307999999999</v>
      </c>
      <c r="BN138">
        <v>3.83</v>
      </c>
      <c r="BO138">
        <v>0</v>
      </c>
      <c r="BP138">
        <v>1</v>
      </c>
      <c r="BQ138">
        <v>0</v>
      </c>
      <c r="BR138">
        <v>0</v>
      </c>
      <c r="BS138">
        <v>0</v>
      </c>
      <c r="BT138">
        <v>681.64042</v>
      </c>
      <c r="BU138">
        <v>4.4045</v>
      </c>
      <c r="BV138">
        <v>0</v>
      </c>
      <c r="BW138">
        <v>1</v>
      </c>
      <c r="CX138">
        <f>Y138*Source!I48</f>
        <v>202.9285285</v>
      </c>
      <c r="CY138">
        <f>AD138</f>
        <v>154.76</v>
      </c>
      <c r="CZ138">
        <f>AH138</f>
        <v>154.76</v>
      </c>
      <c r="DA138">
        <f>AL138</f>
        <v>1</v>
      </c>
      <c r="DB138">
        <v>0</v>
      </c>
    </row>
    <row r="139" spans="1:106" ht="12.75">
      <c r="A139">
        <f>ROW(Source!A48)</f>
        <v>48</v>
      </c>
      <c r="B139">
        <v>26994759</v>
      </c>
      <c r="C139">
        <v>26995405</v>
      </c>
      <c r="D139">
        <v>121548</v>
      </c>
      <c r="E139">
        <v>1</v>
      </c>
      <c r="F139">
        <v>1</v>
      </c>
      <c r="G139">
        <v>1</v>
      </c>
      <c r="H139">
        <v>1</v>
      </c>
      <c r="I139" t="s">
        <v>26</v>
      </c>
      <c r="K139" t="s">
        <v>358</v>
      </c>
      <c r="L139">
        <v>608254</v>
      </c>
      <c r="N139">
        <v>1013</v>
      </c>
      <c r="O139" t="s">
        <v>359</v>
      </c>
      <c r="P139" t="s">
        <v>359</v>
      </c>
      <c r="Q139">
        <v>1</v>
      </c>
      <c r="W139">
        <v>0</v>
      </c>
      <c r="X139">
        <v>-185737400</v>
      </c>
      <c r="Y139">
        <v>0.17500000000000002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1</v>
      </c>
      <c r="AK139">
        <v>1</v>
      </c>
      <c r="AL139">
        <v>1</v>
      </c>
      <c r="AN139">
        <v>0</v>
      </c>
      <c r="AO139">
        <v>0</v>
      </c>
      <c r="AP139">
        <v>1</v>
      </c>
      <c r="AQ139">
        <v>1</v>
      </c>
      <c r="AR139">
        <v>0</v>
      </c>
      <c r="AT139">
        <v>0.14</v>
      </c>
      <c r="AU139" t="s">
        <v>17</v>
      </c>
      <c r="AV139">
        <v>2</v>
      </c>
      <c r="AW139">
        <v>2</v>
      </c>
      <c r="AX139">
        <v>26995418</v>
      </c>
      <c r="AY139">
        <v>1</v>
      </c>
      <c r="AZ139">
        <v>0</v>
      </c>
      <c r="BA139">
        <v>176</v>
      </c>
      <c r="BB139">
        <v>1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0.14</v>
      </c>
      <c r="BP139">
        <v>1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0.17500000000000002</v>
      </c>
      <c r="BW139">
        <v>1</v>
      </c>
      <c r="CX139">
        <f>Y139*Source!I48</f>
        <v>8.062775</v>
      </c>
      <c r="CY139">
        <f>AD139</f>
        <v>0</v>
      </c>
      <c r="CZ139">
        <f>AH139</f>
        <v>0</v>
      </c>
      <c r="DA139">
        <f>AL139</f>
        <v>1</v>
      </c>
      <c r="DB139">
        <v>0</v>
      </c>
    </row>
    <row r="140" spans="1:106" ht="12.75">
      <c r="A140">
        <f>ROW(Source!A48)</f>
        <v>48</v>
      </c>
      <c r="B140">
        <v>26994759</v>
      </c>
      <c r="C140">
        <v>26995405</v>
      </c>
      <c r="D140">
        <v>24265924</v>
      </c>
      <c r="E140">
        <v>1</v>
      </c>
      <c r="F140">
        <v>1</v>
      </c>
      <c r="G140">
        <v>1</v>
      </c>
      <c r="H140">
        <v>2</v>
      </c>
      <c r="I140" t="s">
        <v>436</v>
      </c>
      <c r="J140" t="s">
        <v>445</v>
      </c>
      <c r="K140" t="s">
        <v>438</v>
      </c>
      <c r="L140">
        <v>1368</v>
      </c>
      <c r="N140">
        <v>1011</v>
      </c>
      <c r="O140" t="s">
        <v>327</v>
      </c>
      <c r="P140" t="s">
        <v>327</v>
      </c>
      <c r="Q140">
        <v>1</v>
      </c>
      <c r="W140">
        <v>0</v>
      </c>
      <c r="X140">
        <v>2138795948</v>
      </c>
      <c r="Y140">
        <v>0.0125</v>
      </c>
      <c r="AA140">
        <v>0</v>
      </c>
      <c r="AB140">
        <v>490.2</v>
      </c>
      <c r="AC140">
        <v>0</v>
      </c>
      <c r="AD140">
        <v>0</v>
      </c>
      <c r="AE140">
        <v>0</v>
      </c>
      <c r="AF140">
        <v>490.2</v>
      </c>
      <c r="AG140">
        <v>0</v>
      </c>
      <c r="AH140">
        <v>0</v>
      </c>
      <c r="AI140">
        <v>1</v>
      </c>
      <c r="AJ140">
        <v>1</v>
      </c>
      <c r="AK140">
        <v>1</v>
      </c>
      <c r="AL140">
        <v>1</v>
      </c>
      <c r="AN140">
        <v>0</v>
      </c>
      <c r="AO140">
        <v>0</v>
      </c>
      <c r="AP140">
        <v>1</v>
      </c>
      <c r="AQ140">
        <v>1</v>
      </c>
      <c r="AR140">
        <v>0</v>
      </c>
      <c r="AT140">
        <v>0.01</v>
      </c>
      <c r="AU140" t="s">
        <v>17</v>
      </c>
      <c r="AV140">
        <v>0</v>
      </c>
      <c r="AW140">
        <v>2</v>
      </c>
      <c r="AX140">
        <v>26995419</v>
      </c>
      <c r="AY140">
        <v>2</v>
      </c>
      <c r="AZ140">
        <v>98304</v>
      </c>
      <c r="BA140">
        <v>177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4.902</v>
      </c>
      <c r="BL140">
        <v>0</v>
      </c>
      <c r="BM140">
        <v>0</v>
      </c>
      <c r="BN140">
        <v>0</v>
      </c>
      <c r="BO140">
        <v>0</v>
      </c>
      <c r="BP140">
        <v>1</v>
      </c>
      <c r="BQ140">
        <v>0</v>
      </c>
      <c r="BR140">
        <v>6.1275</v>
      </c>
      <c r="BS140">
        <v>0</v>
      </c>
      <c r="BT140">
        <v>0</v>
      </c>
      <c r="BU140">
        <v>0</v>
      </c>
      <c r="BV140">
        <v>0</v>
      </c>
      <c r="BW140">
        <v>1</v>
      </c>
      <c r="CX140">
        <f>Y140*Source!I48</f>
        <v>0.5759125</v>
      </c>
      <c r="CY140">
        <f>AB140</f>
        <v>490.2</v>
      </c>
      <c r="CZ140">
        <f>AF140</f>
        <v>490.2</v>
      </c>
      <c r="DA140">
        <f>AJ140</f>
        <v>1</v>
      </c>
      <c r="DB140">
        <v>0</v>
      </c>
    </row>
    <row r="141" spans="1:106" ht="12.75">
      <c r="A141">
        <f>ROW(Source!A48)</f>
        <v>48</v>
      </c>
      <c r="B141">
        <v>26994759</v>
      </c>
      <c r="C141">
        <v>26995405</v>
      </c>
      <c r="D141">
        <v>24316761</v>
      </c>
      <c r="E141">
        <v>1</v>
      </c>
      <c r="F141">
        <v>1</v>
      </c>
      <c r="G141">
        <v>1</v>
      </c>
      <c r="H141">
        <v>2</v>
      </c>
      <c r="I141" t="s">
        <v>418</v>
      </c>
      <c r="J141" t="s">
        <v>419</v>
      </c>
      <c r="K141" t="s">
        <v>420</v>
      </c>
      <c r="L141">
        <v>1368</v>
      </c>
      <c r="N141">
        <v>1011</v>
      </c>
      <c r="O141" t="s">
        <v>327</v>
      </c>
      <c r="P141" t="s">
        <v>327</v>
      </c>
      <c r="Q141">
        <v>1</v>
      </c>
      <c r="W141">
        <v>0</v>
      </c>
      <c r="X141">
        <v>1793891640</v>
      </c>
      <c r="Y141">
        <v>0.025</v>
      </c>
      <c r="AA141">
        <v>0</v>
      </c>
      <c r="AB141">
        <v>5.76</v>
      </c>
      <c r="AC141">
        <v>0</v>
      </c>
      <c r="AD141">
        <v>0</v>
      </c>
      <c r="AE141">
        <v>0</v>
      </c>
      <c r="AF141">
        <v>5.76</v>
      </c>
      <c r="AG141">
        <v>0</v>
      </c>
      <c r="AH141">
        <v>0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0</v>
      </c>
      <c r="AP141">
        <v>1</v>
      </c>
      <c r="AQ141">
        <v>1</v>
      </c>
      <c r="AR141">
        <v>0</v>
      </c>
      <c r="AT141">
        <v>0.02</v>
      </c>
      <c r="AU141" t="s">
        <v>17</v>
      </c>
      <c r="AV141">
        <v>0</v>
      </c>
      <c r="AW141">
        <v>2</v>
      </c>
      <c r="AX141">
        <v>26995420</v>
      </c>
      <c r="AY141">
        <v>2</v>
      </c>
      <c r="AZ141">
        <v>32768</v>
      </c>
      <c r="BA141">
        <v>178</v>
      </c>
      <c r="BB141">
        <v>1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0.1152</v>
      </c>
      <c r="BL141">
        <v>0</v>
      </c>
      <c r="BM141">
        <v>0</v>
      </c>
      <c r="BN141">
        <v>0</v>
      </c>
      <c r="BO141">
        <v>0</v>
      </c>
      <c r="BP141">
        <v>1</v>
      </c>
      <c r="BQ141">
        <v>0</v>
      </c>
      <c r="BR141">
        <v>0.144</v>
      </c>
      <c r="BS141">
        <v>0</v>
      </c>
      <c r="BT141">
        <v>0</v>
      </c>
      <c r="BU141">
        <v>0</v>
      </c>
      <c r="BV141">
        <v>0</v>
      </c>
      <c r="BW141">
        <v>1</v>
      </c>
      <c r="CX141">
        <f>Y141*Source!I48</f>
        <v>1.151825</v>
      </c>
      <c r="CY141">
        <f>AB141</f>
        <v>5.76</v>
      </c>
      <c r="CZ141">
        <f>AF141</f>
        <v>5.76</v>
      </c>
      <c r="DA141">
        <f>AJ141</f>
        <v>1</v>
      </c>
      <c r="DB141">
        <v>0</v>
      </c>
    </row>
    <row r="142" spans="1:106" ht="12.75">
      <c r="A142">
        <f>ROW(Source!A48)</f>
        <v>48</v>
      </c>
      <c r="B142">
        <v>26994759</v>
      </c>
      <c r="C142">
        <v>26995405</v>
      </c>
      <c r="D142">
        <v>24313971</v>
      </c>
      <c r="E142">
        <v>1</v>
      </c>
      <c r="F142">
        <v>1</v>
      </c>
      <c r="G142">
        <v>1</v>
      </c>
      <c r="H142">
        <v>2</v>
      </c>
      <c r="I142" t="s">
        <v>446</v>
      </c>
      <c r="J142" t="s">
        <v>447</v>
      </c>
      <c r="K142" t="s">
        <v>448</v>
      </c>
      <c r="L142">
        <v>1368</v>
      </c>
      <c r="N142">
        <v>1011</v>
      </c>
      <c r="O142" t="s">
        <v>327</v>
      </c>
      <c r="P142" t="s">
        <v>327</v>
      </c>
      <c r="Q142">
        <v>1</v>
      </c>
      <c r="W142">
        <v>0</v>
      </c>
      <c r="X142">
        <v>-1768163559</v>
      </c>
      <c r="Y142">
        <v>0.05</v>
      </c>
      <c r="AA142">
        <v>0</v>
      </c>
      <c r="AB142">
        <v>143.88</v>
      </c>
      <c r="AC142">
        <v>0</v>
      </c>
      <c r="AD142">
        <v>0</v>
      </c>
      <c r="AE142">
        <v>0</v>
      </c>
      <c r="AF142">
        <v>143.88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0</v>
      </c>
      <c r="AP142">
        <v>1</v>
      </c>
      <c r="AQ142">
        <v>1</v>
      </c>
      <c r="AR142">
        <v>0</v>
      </c>
      <c r="AT142">
        <v>0.04</v>
      </c>
      <c r="AU142" t="s">
        <v>17</v>
      </c>
      <c r="AV142">
        <v>0</v>
      </c>
      <c r="AW142">
        <v>2</v>
      </c>
      <c r="AX142">
        <v>26995421</v>
      </c>
      <c r="AY142">
        <v>2</v>
      </c>
      <c r="AZ142">
        <v>98304</v>
      </c>
      <c r="BA142">
        <v>179</v>
      </c>
      <c r="BB142">
        <v>1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5.7552</v>
      </c>
      <c r="BL142">
        <v>0</v>
      </c>
      <c r="BM142">
        <v>0</v>
      </c>
      <c r="BN142">
        <v>0</v>
      </c>
      <c r="BO142">
        <v>0</v>
      </c>
      <c r="BP142">
        <v>1</v>
      </c>
      <c r="BQ142">
        <v>0</v>
      </c>
      <c r="BR142">
        <v>7.194</v>
      </c>
      <c r="BS142">
        <v>0</v>
      </c>
      <c r="BT142">
        <v>0</v>
      </c>
      <c r="BU142">
        <v>0</v>
      </c>
      <c r="BV142">
        <v>0</v>
      </c>
      <c r="BW142">
        <v>1</v>
      </c>
      <c r="CX142">
        <f>Y142*Source!I48</f>
        <v>2.30365</v>
      </c>
      <c r="CY142">
        <f>AB142</f>
        <v>143.88</v>
      </c>
      <c r="CZ142">
        <f>AF142</f>
        <v>143.88</v>
      </c>
      <c r="DA142">
        <f>AJ142</f>
        <v>1</v>
      </c>
      <c r="DB142">
        <v>0</v>
      </c>
    </row>
    <row r="143" spans="1:106" ht="12.75">
      <c r="A143">
        <f>ROW(Source!A48)</f>
        <v>48</v>
      </c>
      <c r="B143">
        <v>26994759</v>
      </c>
      <c r="C143">
        <v>26995405</v>
      </c>
      <c r="D143">
        <v>24330881</v>
      </c>
      <c r="E143">
        <v>1</v>
      </c>
      <c r="F143">
        <v>1</v>
      </c>
      <c r="G143">
        <v>1</v>
      </c>
      <c r="H143">
        <v>2</v>
      </c>
      <c r="I143" t="s">
        <v>510</v>
      </c>
      <c r="J143" t="s">
        <v>511</v>
      </c>
      <c r="K143" t="s">
        <v>512</v>
      </c>
      <c r="L143">
        <v>1368</v>
      </c>
      <c r="N143">
        <v>1011</v>
      </c>
      <c r="O143" t="s">
        <v>327</v>
      </c>
      <c r="P143" t="s">
        <v>327</v>
      </c>
      <c r="Q143">
        <v>1</v>
      </c>
      <c r="W143">
        <v>0</v>
      </c>
      <c r="X143">
        <v>652299674</v>
      </c>
      <c r="Y143">
        <v>0.11249999999999999</v>
      </c>
      <c r="AA143">
        <v>0</v>
      </c>
      <c r="AB143">
        <v>210.6</v>
      </c>
      <c r="AC143">
        <v>0</v>
      </c>
      <c r="AD143">
        <v>0</v>
      </c>
      <c r="AE143">
        <v>0</v>
      </c>
      <c r="AF143">
        <v>210.6</v>
      </c>
      <c r="AG143">
        <v>0</v>
      </c>
      <c r="AH143">
        <v>0</v>
      </c>
      <c r="AI143">
        <v>1</v>
      </c>
      <c r="AJ143">
        <v>1</v>
      </c>
      <c r="AK143">
        <v>1</v>
      </c>
      <c r="AL143">
        <v>1</v>
      </c>
      <c r="AN143">
        <v>0</v>
      </c>
      <c r="AO143">
        <v>0</v>
      </c>
      <c r="AP143">
        <v>1</v>
      </c>
      <c r="AQ143">
        <v>1</v>
      </c>
      <c r="AR143">
        <v>0</v>
      </c>
      <c r="AT143">
        <v>0.09</v>
      </c>
      <c r="AU143" t="s">
        <v>17</v>
      </c>
      <c r="AV143">
        <v>0</v>
      </c>
      <c r="AW143">
        <v>2</v>
      </c>
      <c r="AX143">
        <v>26995422</v>
      </c>
      <c r="AY143">
        <v>2</v>
      </c>
      <c r="AZ143">
        <v>98304</v>
      </c>
      <c r="BA143">
        <v>180</v>
      </c>
      <c r="BB143">
        <v>1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18.953999999999997</v>
      </c>
      <c r="BL143">
        <v>0</v>
      </c>
      <c r="BM143">
        <v>0</v>
      </c>
      <c r="BN143">
        <v>0</v>
      </c>
      <c r="BO143">
        <v>0</v>
      </c>
      <c r="BP143">
        <v>1</v>
      </c>
      <c r="BQ143">
        <v>0</v>
      </c>
      <c r="BR143">
        <v>23.692499999999995</v>
      </c>
      <c r="BS143">
        <v>0</v>
      </c>
      <c r="BT143">
        <v>0</v>
      </c>
      <c r="BU143">
        <v>0</v>
      </c>
      <c r="BV143">
        <v>0</v>
      </c>
      <c r="BW143">
        <v>1</v>
      </c>
      <c r="CX143">
        <f>Y143*Source!I48</f>
        <v>5.1832125</v>
      </c>
      <c r="CY143">
        <f>AB143</f>
        <v>210.6</v>
      </c>
      <c r="CZ143">
        <f>AF143</f>
        <v>210.6</v>
      </c>
      <c r="DA143">
        <f>AJ143</f>
        <v>1</v>
      </c>
      <c r="DB143">
        <v>0</v>
      </c>
    </row>
    <row r="144" spans="1:106" ht="12.75">
      <c r="A144">
        <f>ROW(Source!A48)</f>
        <v>48</v>
      </c>
      <c r="B144">
        <v>26994759</v>
      </c>
      <c r="C144">
        <v>26995405</v>
      </c>
      <c r="D144">
        <v>24262102</v>
      </c>
      <c r="E144">
        <v>1</v>
      </c>
      <c r="F144">
        <v>1</v>
      </c>
      <c r="G144">
        <v>1</v>
      </c>
      <c r="H144">
        <v>2</v>
      </c>
      <c r="I144" t="s">
        <v>371</v>
      </c>
      <c r="J144" t="s">
        <v>372</v>
      </c>
      <c r="K144" t="s">
        <v>373</v>
      </c>
      <c r="L144">
        <v>1368</v>
      </c>
      <c r="N144">
        <v>1011</v>
      </c>
      <c r="O144" t="s">
        <v>327</v>
      </c>
      <c r="P144" t="s">
        <v>327</v>
      </c>
      <c r="Q144">
        <v>1</v>
      </c>
      <c r="W144">
        <v>0</v>
      </c>
      <c r="X144">
        <v>596191924</v>
      </c>
      <c r="Y144">
        <v>0.075</v>
      </c>
      <c r="AA144">
        <v>0</v>
      </c>
      <c r="AB144">
        <v>691.3</v>
      </c>
      <c r="AC144">
        <v>0</v>
      </c>
      <c r="AD144">
        <v>0</v>
      </c>
      <c r="AE144">
        <v>0</v>
      </c>
      <c r="AF144">
        <v>691.3</v>
      </c>
      <c r="AG144">
        <v>0</v>
      </c>
      <c r="AH144">
        <v>0</v>
      </c>
      <c r="AI144">
        <v>1</v>
      </c>
      <c r="AJ144">
        <v>1</v>
      </c>
      <c r="AK144">
        <v>1</v>
      </c>
      <c r="AL144">
        <v>1</v>
      </c>
      <c r="AN144">
        <v>0</v>
      </c>
      <c r="AO144">
        <v>0</v>
      </c>
      <c r="AP144">
        <v>1</v>
      </c>
      <c r="AQ144">
        <v>1</v>
      </c>
      <c r="AR144">
        <v>0</v>
      </c>
      <c r="AT144">
        <v>0.06</v>
      </c>
      <c r="AU144" t="s">
        <v>17</v>
      </c>
      <c r="AV144">
        <v>0</v>
      </c>
      <c r="AW144">
        <v>2</v>
      </c>
      <c r="AX144">
        <v>26995423</v>
      </c>
      <c r="AY144">
        <v>2</v>
      </c>
      <c r="AZ144">
        <v>98304</v>
      </c>
      <c r="BA144">
        <v>181</v>
      </c>
      <c r="BB144">
        <v>1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41.477999999999994</v>
      </c>
      <c r="BL144">
        <v>0</v>
      </c>
      <c r="BM144">
        <v>0</v>
      </c>
      <c r="BN144">
        <v>0</v>
      </c>
      <c r="BO144">
        <v>0</v>
      </c>
      <c r="BP144">
        <v>1</v>
      </c>
      <c r="BQ144">
        <v>0</v>
      </c>
      <c r="BR144">
        <v>51.8475</v>
      </c>
      <c r="BS144">
        <v>0</v>
      </c>
      <c r="BT144">
        <v>0</v>
      </c>
      <c r="BU144">
        <v>0</v>
      </c>
      <c r="BV144">
        <v>0</v>
      </c>
      <c r="BW144">
        <v>1</v>
      </c>
      <c r="CX144">
        <f>Y144*Source!I48</f>
        <v>3.455475</v>
      </c>
      <c r="CY144">
        <f>AB144</f>
        <v>691.3</v>
      </c>
      <c r="CZ144">
        <f>AF144</f>
        <v>691.3</v>
      </c>
      <c r="DA144">
        <f>AJ144</f>
        <v>1</v>
      </c>
      <c r="DB144">
        <v>0</v>
      </c>
    </row>
    <row r="145" spans="1:106" ht="12.75">
      <c r="A145">
        <f>ROW(Source!A48)</f>
        <v>48</v>
      </c>
      <c r="B145">
        <v>26994759</v>
      </c>
      <c r="C145">
        <v>26995405</v>
      </c>
      <c r="D145">
        <v>24330345</v>
      </c>
      <c r="E145">
        <v>1</v>
      </c>
      <c r="F145">
        <v>1</v>
      </c>
      <c r="G145">
        <v>1</v>
      </c>
      <c r="H145">
        <v>3</v>
      </c>
      <c r="I145" t="s">
        <v>513</v>
      </c>
      <c r="J145" t="s">
        <v>514</v>
      </c>
      <c r="K145" t="s">
        <v>515</v>
      </c>
      <c r="L145">
        <v>1348</v>
      </c>
      <c r="N145">
        <v>1009</v>
      </c>
      <c r="O145" t="s">
        <v>203</v>
      </c>
      <c r="P145" t="s">
        <v>203</v>
      </c>
      <c r="Q145">
        <v>1000</v>
      </c>
      <c r="W145">
        <v>0</v>
      </c>
      <c r="X145">
        <v>-1842594342</v>
      </c>
      <c r="Y145">
        <v>0.00127</v>
      </c>
      <c r="AA145">
        <v>49868.65</v>
      </c>
      <c r="AB145">
        <v>0</v>
      </c>
      <c r="AC145">
        <v>0</v>
      </c>
      <c r="AD145">
        <v>0</v>
      </c>
      <c r="AE145">
        <v>49868.65</v>
      </c>
      <c r="AF145">
        <v>0</v>
      </c>
      <c r="AG145">
        <v>0</v>
      </c>
      <c r="AH145">
        <v>0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0</v>
      </c>
      <c r="AP145">
        <v>0</v>
      </c>
      <c r="AQ145">
        <v>1</v>
      </c>
      <c r="AR145">
        <v>0</v>
      </c>
      <c r="AT145">
        <v>0.00127</v>
      </c>
      <c r="AV145">
        <v>0</v>
      </c>
      <c r="AW145">
        <v>2</v>
      </c>
      <c r="AX145">
        <v>26995424</v>
      </c>
      <c r="AY145">
        <v>2</v>
      </c>
      <c r="AZ145">
        <v>16384</v>
      </c>
      <c r="BA145">
        <v>182</v>
      </c>
      <c r="BB145">
        <v>1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63.333185500000006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1</v>
      </c>
      <c r="BQ145">
        <v>63.333185500000006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1</v>
      </c>
      <c r="CX145">
        <f>Y145*Source!I48</f>
        <v>0.05851271</v>
      </c>
      <c r="CY145">
        <f>AA145</f>
        <v>49868.65</v>
      </c>
      <c r="CZ145">
        <f>AE145</f>
        <v>49868.65</v>
      </c>
      <c r="DA145">
        <f>AI145</f>
        <v>1</v>
      </c>
      <c r="DB145">
        <v>0</v>
      </c>
    </row>
    <row r="146" spans="1:106" ht="12.75">
      <c r="A146">
        <f>ROW(Source!A48)</f>
        <v>48</v>
      </c>
      <c r="B146">
        <v>26994759</v>
      </c>
      <c r="C146">
        <v>26995405</v>
      </c>
      <c r="D146">
        <v>24330346</v>
      </c>
      <c r="E146">
        <v>1</v>
      </c>
      <c r="F146">
        <v>1</v>
      </c>
      <c r="G146">
        <v>1</v>
      </c>
      <c r="H146">
        <v>3</v>
      </c>
      <c r="I146" t="s">
        <v>516</v>
      </c>
      <c r="J146" t="s">
        <v>517</v>
      </c>
      <c r="K146" t="s">
        <v>518</v>
      </c>
      <c r="L146">
        <v>1348</v>
      </c>
      <c r="N146">
        <v>1009</v>
      </c>
      <c r="O146" t="s">
        <v>203</v>
      </c>
      <c r="P146" t="s">
        <v>203</v>
      </c>
      <c r="Q146">
        <v>1000</v>
      </c>
      <c r="W146">
        <v>0</v>
      </c>
      <c r="X146">
        <v>-463722913</v>
      </c>
      <c r="Y146">
        <v>0.00847</v>
      </c>
      <c r="AA146">
        <v>37674</v>
      </c>
      <c r="AB146">
        <v>0</v>
      </c>
      <c r="AC146">
        <v>0</v>
      </c>
      <c r="AD146">
        <v>0</v>
      </c>
      <c r="AE146">
        <v>37674</v>
      </c>
      <c r="AF146">
        <v>0</v>
      </c>
      <c r="AG146">
        <v>0</v>
      </c>
      <c r="AH146">
        <v>0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0</v>
      </c>
      <c r="AP146">
        <v>0</v>
      </c>
      <c r="AQ146">
        <v>1</v>
      </c>
      <c r="AR146">
        <v>0</v>
      </c>
      <c r="AT146">
        <v>0.00847</v>
      </c>
      <c r="AV146">
        <v>0</v>
      </c>
      <c r="AW146">
        <v>2</v>
      </c>
      <c r="AX146">
        <v>26995425</v>
      </c>
      <c r="AY146">
        <v>2</v>
      </c>
      <c r="AZ146">
        <v>16384</v>
      </c>
      <c r="BA146">
        <v>183</v>
      </c>
      <c r="BB146">
        <v>1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319.09878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1</v>
      </c>
      <c r="BQ146">
        <v>319.09878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1</v>
      </c>
      <c r="CX146">
        <f>Y146*Source!I48</f>
        <v>0.39023831000000003</v>
      </c>
      <c r="CY146">
        <f>AA146</f>
        <v>37674</v>
      </c>
      <c r="CZ146">
        <f>AE146</f>
        <v>37674</v>
      </c>
      <c r="DA146">
        <f>AI146</f>
        <v>1</v>
      </c>
      <c r="DB146">
        <v>0</v>
      </c>
    </row>
    <row r="147" spans="1:106" ht="12.75">
      <c r="A147">
        <f>ROW(Source!A48)</f>
        <v>48</v>
      </c>
      <c r="B147">
        <v>26994759</v>
      </c>
      <c r="C147">
        <v>26995405</v>
      </c>
      <c r="D147">
        <v>24332683</v>
      </c>
      <c r="E147">
        <v>1</v>
      </c>
      <c r="F147">
        <v>1</v>
      </c>
      <c r="G147">
        <v>1</v>
      </c>
      <c r="H147">
        <v>3</v>
      </c>
      <c r="I147" t="s">
        <v>519</v>
      </c>
      <c r="J147" t="s">
        <v>520</v>
      </c>
      <c r="K147" t="s">
        <v>521</v>
      </c>
      <c r="L147">
        <v>1327</v>
      </c>
      <c r="N147">
        <v>1005</v>
      </c>
      <c r="O147" t="s">
        <v>348</v>
      </c>
      <c r="P147" t="s">
        <v>348</v>
      </c>
      <c r="Q147">
        <v>1</v>
      </c>
      <c r="W147">
        <v>0</v>
      </c>
      <c r="X147">
        <v>-584050381</v>
      </c>
      <c r="Y147">
        <v>1.02</v>
      </c>
      <c r="AA147">
        <v>1758</v>
      </c>
      <c r="AB147">
        <v>0</v>
      </c>
      <c r="AC147">
        <v>0</v>
      </c>
      <c r="AD147">
        <v>0</v>
      </c>
      <c r="AE147">
        <v>1758</v>
      </c>
      <c r="AF147">
        <v>0</v>
      </c>
      <c r="AG147">
        <v>0</v>
      </c>
      <c r="AH147">
        <v>0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0</v>
      </c>
      <c r="AP147">
        <v>0</v>
      </c>
      <c r="AQ147">
        <v>1</v>
      </c>
      <c r="AR147">
        <v>0</v>
      </c>
      <c r="AT147">
        <v>1.02</v>
      </c>
      <c r="AV147">
        <v>0</v>
      </c>
      <c r="AW147">
        <v>2</v>
      </c>
      <c r="AX147">
        <v>26995426</v>
      </c>
      <c r="AY147">
        <v>2</v>
      </c>
      <c r="AZ147">
        <v>16384</v>
      </c>
      <c r="BA147">
        <v>184</v>
      </c>
      <c r="BB147">
        <v>1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1793.16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1</v>
      </c>
      <c r="BQ147">
        <v>1793.16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1</v>
      </c>
      <c r="CX147">
        <f>Y147*Source!I48</f>
        <v>46.994460000000004</v>
      </c>
      <c r="CY147">
        <f>AA147</f>
        <v>1758</v>
      </c>
      <c r="CZ147">
        <f>AE147</f>
        <v>1758</v>
      </c>
      <c r="DA147">
        <f>AI147</f>
        <v>1</v>
      </c>
      <c r="DB147">
        <v>0</v>
      </c>
    </row>
    <row r="148" spans="1:106" ht="12.75">
      <c r="A148">
        <f>ROW(Source!A48)</f>
        <v>48</v>
      </c>
      <c r="B148">
        <v>26994759</v>
      </c>
      <c r="C148">
        <v>26995405</v>
      </c>
      <c r="D148">
        <v>24330556</v>
      </c>
      <c r="E148">
        <v>1</v>
      </c>
      <c r="F148">
        <v>1</v>
      </c>
      <c r="G148">
        <v>1</v>
      </c>
      <c r="H148">
        <v>3</v>
      </c>
      <c r="I148" t="s">
        <v>522</v>
      </c>
      <c r="J148" t="s">
        <v>523</v>
      </c>
      <c r="K148" t="s">
        <v>524</v>
      </c>
      <c r="L148">
        <v>1348</v>
      </c>
      <c r="N148">
        <v>1009</v>
      </c>
      <c r="O148" t="s">
        <v>203</v>
      </c>
      <c r="P148" t="s">
        <v>203</v>
      </c>
      <c r="Q148">
        <v>1000</v>
      </c>
      <c r="W148">
        <v>0</v>
      </c>
      <c r="X148">
        <v>-494962278</v>
      </c>
      <c r="Y148">
        <v>0.0189</v>
      </c>
      <c r="AA148">
        <v>16798.8</v>
      </c>
      <c r="AB148">
        <v>0</v>
      </c>
      <c r="AC148">
        <v>0</v>
      </c>
      <c r="AD148">
        <v>0</v>
      </c>
      <c r="AE148">
        <v>16798.8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0</v>
      </c>
      <c r="AP148">
        <v>0</v>
      </c>
      <c r="AQ148">
        <v>1</v>
      </c>
      <c r="AR148">
        <v>0</v>
      </c>
      <c r="AT148">
        <v>0.0189</v>
      </c>
      <c r="AV148">
        <v>0</v>
      </c>
      <c r="AW148">
        <v>2</v>
      </c>
      <c r="AX148">
        <v>26995427</v>
      </c>
      <c r="AY148">
        <v>2</v>
      </c>
      <c r="AZ148">
        <v>16384</v>
      </c>
      <c r="BA148">
        <v>185</v>
      </c>
      <c r="BB148">
        <v>1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317.49732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1</v>
      </c>
      <c r="BQ148">
        <v>317.49732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1</v>
      </c>
      <c r="CX148">
        <f>Y148*Source!I48</f>
        <v>0.8707797</v>
      </c>
      <c r="CY148">
        <f>AA148</f>
        <v>16798.8</v>
      </c>
      <c r="CZ148">
        <f>AE148</f>
        <v>16798.8</v>
      </c>
      <c r="DA148">
        <f>AI148</f>
        <v>1</v>
      </c>
      <c r="DB148">
        <v>0</v>
      </c>
    </row>
    <row r="149" spans="1:106" ht="12.75">
      <c r="A149">
        <f>ROW(Source!A49)</f>
        <v>49</v>
      </c>
      <c r="B149">
        <v>26994759</v>
      </c>
      <c r="C149">
        <v>26995428</v>
      </c>
      <c r="D149">
        <v>9419296</v>
      </c>
      <c r="E149">
        <v>1</v>
      </c>
      <c r="F149">
        <v>1</v>
      </c>
      <c r="G149">
        <v>1</v>
      </c>
      <c r="H149">
        <v>1</v>
      </c>
      <c r="I149" t="s">
        <v>493</v>
      </c>
      <c r="K149" t="s">
        <v>494</v>
      </c>
      <c r="L149">
        <v>1369</v>
      </c>
      <c r="N149">
        <v>1013</v>
      </c>
      <c r="O149" t="s">
        <v>323</v>
      </c>
      <c r="P149" t="s">
        <v>323</v>
      </c>
      <c r="Q149">
        <v>1</v>
      </c>
      <c r="W149">
        <v>0</v>
      </c>
      <c r="X149">
        <v>-152249182</v>
      </c>
      <c r="Y149">
        <v>2.4379999999999997</v>
      </c>
      <c r="AA149">
        <v>0</v>
      </c>
      <c r="AB149">
        <v>0</v>
      </c>
      <c r="AC149">
        <v>0</v>
      </c>
      <c r="AD149">
        <v>154.76</v>
      </c>
      <c r="AE149">
        <v>0</v>
      </c>
      <c r="AF149">
        <v>0</v>
      </c>
      <c r="AG149">
        <v>0</v>
      </c>
      <c r="AH149">
        <v>154.76</v>
      </c>
      <c r="AI149">
        <v>1</v>
      </c>
      <c r="AJ149">
        <v>1</v>
      </c>
      <c r="AK149">
        <v>1</v>
      </c>
      <c r="AL149">
        <v>1</v>
      </c>
      <c r="AN149">
        <v>0</v>
      </c>
      <c r="AO149">
        <v>0</v>
      </c>
      <c r="AP149">
        <v>1</v>
      </c>
      <c r="AQ149">
        <v>1</v>
      </c>
      <c r="AR149">
        <v>0</v>
      </c>
      <c r="AT149">
        <v>2.12</v>
      </c>
      <c r="AU149" t="s">
        <v>18</v>
      </c>
      <c r="AV149">
        <v>1</v>
      </c>
      <c r="AW149">
        <v>2</v>
      </c>
      <c r="AX149">
        <v>26995439</v>
      </c>
      <c r="AY149">
        <v>2</v>
      </c>
      <c r="AZ149">
        <v>131072</v>
      </c>
      <c r="BA149">
        <v>186</v>
      </c>
      <c r="BB149">
        <v>1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328.0912</v>
      </c>
      <c r="BN149">
        <v>2.12</v>
      </c>
      <c r="BO149">
        <v>0</v>
      </c>
      <c r="BP149">
        <v>1</v>
      </c>
      <c r="BQ149">
        <v>0</v>
      </c>
      <c r="BR149">
        <v>0</v>
      </c>
      <c r="BS149">
        <v>0</v>
      </c>
      <c r="BT149">
        <v>377.3048799999999</v>
      </c>
      <c r="BU149">
        <v>2.4379999999999997</v>
      </c>
      <c r="BV149">
        <v>0</v>
      </c>
      <c r="BW149">
        <v>1</v>
      </c>
      <c r="CX149">
        <f>Y149*Source!I49</f>
        <v>112.32597399999999</v>
      </c>
      <c r="CY149">
        <f>AD149</f>
        <v>154.76</v>
      </c>
      <c r="CZ149">
        <f>AH149</f>
        <v>154.76</v>
      </c>
      <c r="DA149">
        <f>AL149</f>
        <v>1</v>
      </c>
      <c r="DB149">
        <v>0</v>
      </c>
    </row>
    <row r="150" spans="1:106" ht="12.75">
      <c r="A150">
        <f>ROW(Source!A49)</f>
        <v>49</v>
      </c>
      <c r="B150">
        <v>26994759</v>
      </c>
      <c r="C150">
        <v>26995428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26</v>
      </c>
      <c r="K150" t="s">
        <v>358</v>
      </c>
      <c r="L150">
        <v>608254</v>
      </c>
      <c r="N150">
        <v>1013</v>
      </c>
      <c r="O150" t="s">
        <v>359</v>
      </c>
      <c r="P150" t="s">
        <v>359</v>
      </c>
      <c r="Q150">
        <v>1</v>
      </c>
      <c r="W150">
        <v>0</v>
      </c>
      <c r="X150">
        <v>-185737400</v>
      </c>
      <c r="Y150">
        <v>0.0625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1</v>
      </c>
      <c r="AJ150">
        <v>1</v>
      </c>
      <c r="AK150">
        <v>1</v>
      </c>
      <c r="AL150">
        <v>1</v>
      </c>
      <c r="AN150">
        <v>0</v>
      </c>
      <c r="AO150">
        <v>0</v>
      </c>
      <c r="AP150">
        <v>1</v>
      </c>
      <c r="AQ150">
        <v>1</v>
      </c>
      <c r="AR150">
        <v>0</v>
      </c>
      <c r="AT150">
        <v>0.05</v>
      </c>
      <c r="AU150" t="s">
        <v>17</v>
      </c>
      <c r="AV150">
        <v>2</v>
      </c>
      <c r="AW150">
        <v>2</v>
      </c>
      <c r="AX150">
        <v>26995440</v>
      </c>
      <c r="AY150">
        <v>1</v>
      </c>
      <c r="AZ150">
        <v>0</v>
      </c>
      <c r="BA150">
        <v>187</v>
      </c>
      <c r="BB150">
        <v>1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0.05</v>
      </c>
      <c r="BP150">
        <v>1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0.0625</v>
      </c>
      <c r="BW150">
        <v>1</v>
      </c>
      <c r="CX150">
        <f>Y150*Source!I49</f>
        <v>2.8795625</v>
      </c>
      <c r="CY150">
        <f>AD150</f>
        <v>0</v>
      </c>
      <c r="CZ150">
        <f>AH150</f>
        <v>0</v>
      </c>
      <c r="DA150">
        <f>AL150</f>
        <v>1</v>
      </c>
      <c r="DB150">
        <v>0</v>
      </c>
    </row>
    <row r="151" spans="1:106" ht="12.75">
      <c r="A151">
        <f>ROW(Source!A49)</f>
        <v>49</v>
      </c>
      <c r="B151">
        <v>26994759</v>
      </c>
      <c r="C151">
        <v>26995428</v>
      </c>
      <c r="D151">
        <v>24265924</v>
      </c>
      <c r="E151">
        <v>1</v>
      </c>
      <c r="F151">
        <v>1</v>
      </c>
      <c r="G151">
        <v>1</v>
      </c>
      <c r="H151">
        <v>2</v>
      </c>
      <c r="I151" t="s">
        <v>436</v>
      </c>
      <c r="J151" t="s">
        <v>445</v>
      </c>
      <c r="K151" t="s">
        <v>438</v>
      </c>
      <c r="L151">
        <v>1368</v>
      </c>
      <c r="N151">
        <v>1011</v>
      </c>
      <c r="O151" t="s">
        <v>327</v>
      </c>
      <c r="P151" t="s">
        <v>327</v>
      </c>
      <c r="Q151">
        <v>1</v>
      </c>
      <c r="W151">
        <v>0</v>
      </c>
      <c r="X151">
        <v>2138795948</v>
      </c>
      <c r="Y151">
        <v>0.0125</v>
      </c>
      <c r="AA151">
        <v>0</v>
      </c>
      <c r="AB151">
        <v>490.2</v>
      </c>
      <c r="AC151">
        <v>0</v>
      </c>
      <c r="AD151">
        <v>0</v>
      </c>
      <c r="AE151">
        <v>0</v>
      </c>
      <c r="AF151">
        <v>490.2</v>
      </c>
      <c r="AG151">
        <v>0</v>
      </c>
      <c r="AH151">
        <v>0</v>
      </c>
      <c r="AI151">
        <v>1</v>
      </c>
      <c r="AJ151">
        <v>1</v>
      </c>
      <c r="AK151">
        <v>1</v>
      </c>
      <c r="AL151">
        <v>1</v>
      </c>
      <c r="AN151">
        <v>0</v>
      </c>
      <c r="AO151">
        <v>0</v>
      </c>
      <c r="AP151">
        <v>1</v>
      </c>
      <c r="AQ151">
        <v>1</v>
      </c>
      <c r="AR151">
        <v>0</v>
      </c>
      <c r="AT151">
        <v>0.01</v>
      </c>
      <c r="AU151" t="s">
        <v>17</v>
      </c>
      <c r="AV151">
        <v>0</v>
      </c>
      <c r="AW151">
        <v>2</v>
      </c>
      <c r="AX151">
        <v>26995441</v>
      </c>
      <c r="AY151">
        <v>2</v>
      </c>
      <c r="AZ151">
        <v>98304</v>
      </c>
      <c r="BA151">
        <v>188</v>
      </c>
      <c r="BB151">
        <v>1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4.902</v>
      </c>
      <c r="BL151">
        <v>0</v>
      </c>
      <c r="BM151">
        <v>0</v>
      </c>
      <c r="BN151">
        <v>0</v>
      </c>
      <c r="BO151">
        <v>0</v>
      </c>
      <c r="BP151">
        <v>1</v>
      </c>
      <c r="BQ151">
        <v>0</v>
      </c>
      <c r="BR151">
        <v>6.1275</v>
      </c>
      <c r="BS151">
        <v>0</v>
      </c>
      <c r="BT151">
        <v>0</v>
      </c>
      <c r="BU151">
        <v>0</v>
      </c>
      <c r="BV151">
        <v>0</v>
      </c>
      <c r="BW151">
        <v>1</v>
      </c>
      <c r="CX151">
        <f>Y151*Source!I49</f>
        <v>0.5759125</v>
      </c>
      <c r="CY151">
        <f>AB151</f>
        <v>490.2</v>
      </c>
      <c r="CZ151">
        <f>AF151</f>
        <v>490.2</v>
      </c>
      <c r="DA151">
        <f>AJ151</f>
        <v>1</v>
      </c>
      <c r="DB151">
        <v>0</v>
      </c>
    </row>
    <row r="152" spans="1:106" ht="12.75">
      <c r="A152">
        <f>ROW(Source!A49)</f>
        <v>49</v>
      </c>
      <c r="B152">
        <v>26994759</v>
      </c>
      <c r="C152">
        <v>26995428</v>
      </c>
      <c r="D152">
        <v>24313971</v>
      </c>
      <c r="E152">
        <v>1</v>
      </c>
      <c r="F152">
        <v>1</v>
      </c>
      <c r="G152">
        <v>1</v>
      </c>
      <c r="H152">
        <v>2</v>
      </c>
      <c r="I152" t="s">
        <v>446</v>
      </c>
      <c r="J152" t="s">
        <v>447</v>
      </c>
      <c r="K152" t="s">
        <v>448</v>
      </c>
      <c r="L152">
        <v>1368</v>
      </c>
      <c r="N152">
        <v>1011</v>
      </c>
      <c r="O152" t="s">
        <v>327</v>
      </c>
      <c r="P152" t="s">
        <v>327</v>
      </c>
      <c r="Q152">
        <v>1</v>
      </c>
      <c r="W152">
        <v>0</v>
      </c>
      <c r="X152">
        <v>-1768163559</v>
      </c>
      <c r="Y152">
        <v>0.05</v>
      </c>
      <c r="AA152">
        <v>0</v>
      </c>
      <c r="AB152">
        <v>143.88</v>
      </c>
      <c r="AC152">
        <v>0</v>
      </c>
      <c r="AD152">
        <v>0</v>
      </c>
      <c r="AE152">
        <v>0</v>
      </c>
      <c r="AF152">
        <v>143.88</v>
      </c>
      <c r="AG152">
        <v>0</v>
      </c>
      <c r="AH152">
        <v>0</v>
      </c>
      <c r="AI152">
        <v>1</v>
      </c>
      <c r="AJ152">
        <v>1</v>
      </c>
      <c r="AK152">
        <v>1</v>
      </c>
      <c r="AL152">
        <v>1</v>
      </c>
      <c r="AN152">
        <v>0</v>
      </c>
      <c r="AO152">
        <v>0</v>
      </c>
      <c r="AP152">
        <v>1</v>
      </c>
      <c r="AQ152">
        <v>1</v>
      </c>
      <c r="AR152">
        <v>0</v>
      </c>
      <c r="AT152">
        <v>0.04</v>
      </c>
      <c r="AU152" t="s">
        <v>17</v>
      </c>
      <c r="AV152">
        <v>0</v>
      </c>
      <c r="AW152">
        <v>2</v>
      </c>
      <c r="AX152">
        <v>26995442</v>
      </c>
      <c r="AY152">
        <v>2</v>
      </c>
      <c r="AZ152">
        <v>98304</v>
      </c>
      <c r="BA152">
        <v>189</v>
      </c>
      <c r="BB152">
        <v>1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5.7552</v>
      </c>
      <c r="BL152">
        <v>0</v>
      </c>
      <c r="BM152">
        <v>0</v>
      </c>
      <c r="BN152">
        <v>0</v>
      </c>
      <c r="BO152">
        <v>0</v>
      </c>
      <c r="BP152">
        <v>1</v>
      </c>
      <c r="BQ152">
        <v>0</v>
      </c>
      <c r="BR152">
        <v>7.194</v>
      </c>
      <c r="BS152">
        <v>0</v>
      </c>
      <c r="BT152">
        <v>0</v>
      </c>
      <c r="BU152">
        <v>0</v>
      </c>
      <c r="BV152">
        <v>0</v>
      </c>
      <c r="BW152">
        <v>1</v>
      </c>
      <c r="CX152">
        <f>Y152*Source!I49</f>
        <v>2.30365</v>
      </c>
      <c r="CY152">
        <f>AB152</f>
        <v>143.88</v>
      </c>
      <c r="CZ152">
        <f>AF152</f>
        <v>143.88</v>
      </c>
      <c r="DA152">
        <f>AJ152</f>
        <v>1</v>
      </c>
      <c r="DB152">
        <v>0</v>
      </c>
    </row>
    <row r="153" spans="1:106" ht="12.75">
      <c r="A153">
        <f>ROW(Source!A49)</f>
        <v>49</v>
      </c>
      <c r="B153">
        <v>26994759</v>
      </c>
      <c r="C153">
        <v>26995428</v>
      </c>
      <c r="D153">
        <v>24262102</v>
      </c>
      <c r="E153">
        <v>1</v>
      </c>
      <c r="F153">
        <v>1</v>
      </c>
      <c r="G153">
        <v>1</v>
      </c>
      <c r="H153">
        <v>2</v>
      </c>
      <c r="I153" t="s">
        <v>371</v>
      </c>
      <c r="J153" t="s">
        <v>372</v>
      </c>
      <c r="K153" t="s">
        <v>373</v>
      </c>
      <c r="L153">
        <v>1368</v>
      </c>
      <c r="N153">
        <v>1011</v>
      </c>
      <c r="O153" t="s">
        <v>327</v>
      </c>
      <c r="P153" t="s">
        <v>327</v>
      </c>
      <c r="Q153">
        <v>1</v>
      </c>
      <c r="W153">
        <v>0</v>
      </c>
      <c r="X153">
        <v>596191924</v>
      </c>
      <c r="Y153">
        <v>0.0125</v>
      </c>
      <c r="AA153">
        <v>0</v>
      </c>
      <c r="AB153">
        <v>691.3</v>
      </c>
      <c r="AC153">
        <v>0</v>
      </c>
      <c r="AD153">
        <v>0</v>
      </c>
      <c r="AE153">
        <v>0</v>
      </c>
      <c r="AF153">
        <v>691.3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1</v>
      </c>
      <c r="AQ153">
        <v>1</v>
      </c>
      <c r="AR153">
        <v>0</v>
      </c>
      <c r="AT153">
        <v>0.01</v>
      </c>
      <c r="AU153" t="s">
        <v>17</v>
      </c>
      <c r="AV153">
        <v>0</v>
      </c>
      <c r="AW153">
        <v>2</v>
      </c>
      <c r="AX153">
        <v>26995443</v>
      </c>
      <c r="AY153">
        <v>2</v>
      </c>
      <c r="AZ153">
        <v>98304</v>
      </c>
      <c r="BA153">
        <v>190</v>
      </c>
      <c r="BB153">
        <v>1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6.912999999999999</v>
      </c>
      <c r="BL153">
        <v>0</v>
      </c>
      <c r="BM153">
        <v>0</v>
      </c>
      <c r="BN153">
        <v>0</v>
      </c>
      <c r="BO153">
        <v>0</v>
      </c>
      <c r="BP153">
        <v>1</v>
      </c>
      <c r="BQ153">
        <v>0</v>
      </c>
      <c r="BR153">
        <v>8.64125</v>
      </c>
      <c r="BS153">
        <v>0</v>
      </c>
      <c r="BT153">
        <v>0</v>
      </c>
      <c r="BU153">
        <v>0</v>
      </c>
      <c r="BV153">
        <v>0</v>
      </c>
      <c r="BW153">
        <v>1</v>
      </c>
      <c r="CX153">
        <f>Y153*Source!I49</f>
        <v>0.5759125</v>
      </c>
      <c r="CY153">
        <f>AB153</f>
        <v>691.3</v>
      </c>
      <c r="CZ153">
        <f>AF153</f>
        <v>691.3</v>
      </c>
      <c r="DA153">
        <f>AJ153</f>
        <v>1</v>
      </c>
      <c r="DB153">
        <v>0</v>
      </c>
    </row>
    <row r="154" spans="1:106" ht="12.75">
      <c r="A154">
        <f>ROW(Source!A49)</f>
        <v>49</v>
      </c>
      <c r="B154">
        <v>26994759</v>
      </c>
      <c r="C154">
        <v>26995428</v>
      </c>
      <c r="D154">
        <v>24323079</v>
      </c>
      <c r="E154">
        <v>1</v>
      </c>
      <c r="F154">
        <v>1</v>
      </c>
      <c r="G154">
        <v>1</v>
      </c>
      <c r="H154">
        <v>3</v>
      </c>
      <c r="I154" t="s">
        <v>525</v>
      </c>
      <c r="J154" t="s">
        <v>526</v>
      </c>
      <c r="K154" t="s">
        <v>527</v>
      </c>
      <c r="L154">
        <v>1348</v>
      </c>
      <c r="N154">
        <v>1009</v>
      </c>
      <c r="O154" t="s">
        <v>203</v>
      </c>
      <c r="P154" t="s">
        <v>203</v>
      </c>
      <c r="Q154">
        <v>1000</v>
      </c>
      <c r="W154">
        <v>0</v>
      </c>
      <c r="X154">
        <v>2016411689</v>
      </c>
      <c r="Y154">
        <v>7E-05</v>
      </c>
      <c r="AA154">
        <v>132200</v>
      </c>
      <c r="AB154">
        <v>0</v>
      </c>
      <c r="AC154">
        <v>0</v>
      </c>
      <c r="AD154">
        <v>0</v>
      </c>
      <c r="AE154">
        <v>132200</v>
      </c>
      <c r="AF154">
        <v>0</v>
      </c>
      <c r="AG154">
        <v>0</v>
      </c>
      <c r="AH154">
        <v>0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0</v>
      </c>
      <c r="AP154">
        <v>0</v>
      </c>
      <c r="AQ154">
        <v>1</v>
      </c>
      <c r="AR154">
        <v>0</v>
      </c>
      <c r="AT154">
        <v>7E-05</v>
      </c>
      <c r="AV154">
        <v>0</v>
      </c>
      <c r="AW154">
        <v>2</v>
      </c>
      <c r="AX154">
        <v>26995445</v>
      </c>
      <c r="AY154">
        <v>2</v>
      </c>
      <c r="AZ154">
        <v>16384</v>
      </c>
      <c r="BA154">
        <v>192</v>
      </c>
      <c r="BB154">
        <v>1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9.254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1</v>
      </c>
      <c r="BQ154">
        <v>9.254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1</v>
      </c>
      <c r="CX154">
        <f>Y154*Source!I49</f>
        <v>0.0032251099999999998</v>
      </c>
      <c r="CY154">
        <f>AA154</f>
        <v>132200</v>
      </c>
      <c r="CZ154">
        <f>AE154</f>
        <v>132200</v>
      </c>
      <c r="DA154">
        <f>AI154</f>
        <v>1</v>
      </c>
      <c r="DB154">
        <v>0</v>
      </c>
    </row>
    <row r="155" spans="1:106" ht="12.75">
      <c r="A155">
        <f>ROW(Source!A49)</f>
        <v>49</v>
      </c>
      <c r="B155">
        <v>26994759</v>
      </c>
      <c r="C155">
        <v>26995428</v>
      </c>
      <c r="D155">
        <v>24323720</v>
      </c>
      <c r="E155">
        <v>1</v>
      </c>
      <c r="F155">
        <v>1</v>
      </c>
      <c r="G155">
        <v>1</v>
      </c>
      <c r="H155">
        <v>3</v>
      </c>
      <c r="I155" t="s">
        <v>528</v>
      </c>
      <c r="J155" t="s">
        <v>529</v>
      </c>
      <c r="K155" t="s">
        <v>530</v>
      </c>
      <c r="L155">
        <v>1348</v>
      </c>
      <c r="N155">
        <v>1009</v>
      </c>
      <c r="O155" t="s">
        <v>203</v>
      </c>
      <c r="P155" t="s">
        <v>203</v>
      </c>
      <c r="Q155">
        <v>1000</v>
      </c>
      <c r="W155">
        <v>0</v>
      </c>
      <c r="X155">
        <v>-1188812599</v>
      </c>
      <c r="Y155">
        <v>5E-05</v>
      </c>
      <c r="AA155">
        <v>658043.5</v>
      </c>
      <c r="AB155">
        <v>0</v>
      </c>
      <c r="AC155">
        <v>0</v>
      </c>
      <c r="AD155">
        <v>0</v>
      </c>
      <c r="AE155">
        <v>658043.5</v>
      </c>
      <c r="AF155">
        <v>0</v>
      </c>
      <c r="AG155">
        <v>0</v>
      </c>
      <c r="AH155">
        <v>0</v>
      </c>
      <c r="AI155">
        <v>1</v>
      </c>
      <c r="AJ155">
        <v>1</v>
      </c>
      <c r="AK155">
        <v>1</v>
      </c>
      <c r="AL155">
        <v>1</v>
      </c>
      <c r="AN155">
        <v>0</v>
      </c>
      <c r="AO155">
        <v>0</v>
      </c>
      <c r="AP155">
        <v>0</v>
      </c>
      <c r="AQ155">
        <v>1</v>
      </c>
      <c r="AR155">
        <v>0</v>
      </c>
      <c r="AT155">
        <v>5E-05</v>
      </c>
      <c r="AV155">
        <v>0</v>
      </c>
      <c r="AW155">
        <v>2</v>
      </c>
      <c r="AX155">
        <v>26995446</v>
      </c>
      <c r="AY155">
        <v>2</v>
      </c>
      <c r="AZ155">
        <v>16384</v>
      </c>
      <c r="BA155">
        <v>193</v>
      </c>
      <c r="BB155">
        <v>1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32.902175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1</v>
      </c>
      <c r="BQ155">
        <v>32.902175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1</v>
      </c>
      <c r="CX155">
        <f>Y155*Source!I49</f>
        <v>0.00230365</v>
      </c>
      <c r="CY155">
        <f>AA155</f>
        <v>658043.5</v>
      </c>
      <c r="CZ155">
        <f>AE155</f>
        <v>658043.5</v>
      </c>
      <c r="DA155">
        <f>AI155</f>
        <v>1</v>
      </c>
      <c r="DB155">
        <v>0</v>
      </c>
    </row>
    <row r="156" spans="1:106" ht="12.75">
      <c r="A156">
        <f>ROW(Source!A49)</f>
        <v>49</v>
      </c>
      <c r="B156">
        <v>26994759</v>
      </c>
      <c r="C156">
        <v>26995428</v>
      </c>
      <c r="D156">
        <v>24330608</v>
      </c>
      <c r="E156">
        <v>1</v>
      </c>
      <c r="F156">
        <v>1</v>
      </c>
      <c r="G156">
        <v>1</v>
      </c>
      <c r="H156">
        <v>3</v>
      </c>
      <c r="I156" t="s">
        <v>531</v>
      </c>
      <c r="J156" t="s">
        <v>532</v>
      </c>
      <c r="K156" t="s">
        <v>533</v>
      </c>
      <c r="L156">
        <v>1348</v>
      </c>
      <c r="N156">
        <v>1009</v>
      </c>
      <c r="O156" t="s">
        <v>203</v>
      </c>
      <c r="P156" t="s">
        <v>203</v>
      </c>
      <c r="Q156">
        <v>1000</v>
      </c>
      <c r="W156">
        <v>0</v>
      </c>
      <c r="X156">
        <v>-774022363</v>
      </c>
      <c r="Y156">
        <v>0.0005</v>
      </c>
      <c r="AA156">
        <v>498000</v>
      </c>
      <c r="AB156">
        <v>0</v>
      </c>
      <c r="AC156">
        <v>0</v>
      </c>
      <c r="AD156">
        <v>0</v>
      </c>
      <c r="AE156">
        <v>498000</v>
      </c>
      <c r="AF156">
        <v>0</v>
      </c>
      <c r="AG156">
        <v>0</v>
      </c>
      <c r="AH156">
        <v>0</v>
      </c>
      <c r="AI156">
        <v>1</v>
      </c>
      <c r="AJ156">
        <v>1</v>
      </c>
      <c r="AK156">
        <v>1</v>
      </c>
      <c r="AL156">
        <v>1</v>
      </c>
      <c r="AN156">
        <v>0</v>
      </c>
      <c r="AO156">
        <v>0</v>
      </c>
      <c r="AP156">
        <v>0</v>
      </c>
      <c r="AQ156">
        <v>1</v>
      </c>
      <c r="AR156">
        <v>0</v>
      </c>
      <c r="AT156">
        <v>0.0005</v>
      </c>
      <c r="AV156">
        <v>0</v>
      </c>
      <c r="AW156">
        <v>2</v>
      </c>
      <c r="AX156">
        <v>26995447</v>
      </c>
      <c r="AY156">
        <v>2</v>
      </c>
      <c r="AZ156">
        <v>16384</v>
      </c>
      <c r="BA156">
        <v>194</v>
      </c>
      <c r="BB156">
        <v>1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249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1</v>
      </c>
      <c r="BQ156">
        <v>249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1</v>
      </c>
      <c r="CX156">
        <f>Y156*Source!I49</f>
        <v>0.0230365</v>
      </c>
      <c r="CY156">
        <f>AA156</f>
        <v>498000</v>
      </c>
      <c r="CZ156">
        <f>AE156</f>
        <v>498000</v>
      </c>
      <c r="DA156">
        <f>AI156</f>
        <v>1</v>
      </c>
      <c r="DB156">
        <v>0</v>
      </c>
    </row>
    <row r="157" spans="1:106" ht="12.75">
      <c r="A157">
        <f>ROW(Source!A49)</f>
        <v>49</v>
      </c>
      <c r="B157">
        <v>26994759</v>
      </c>
      <c r="C157">
        <v>26995428</v>
      </c>
      <c r="D157">
        <v>24330556</v>
      </c>
      <c r="E157">
        <v>1</v>
      </c>
      <c r="F157">
        <v>1</v>
      </c>
      <c r="G157">
        <v>1</v>
      </c>
      <c r="H157">
        <v>3</v>
      </c>
      <c r="I157" t="s">
        <v>522</v>
      </c>
      <c r="J157" t="s">
        <v>523</v>
      </c>
      <c r="K157" t="s">
        <v>524</v>
      </c>
      <c r="L157">
        <v>1348</v>
      </c>
      <c r="N157">
        <v>1009</v>
      </c>
      <c r="O157" t="s">
        <v>203</v>
      </c>
      <c r="P157" t="s">
        <v>203</v>
      </c>
      <c r="Q157">
        <v>1000</v>
      </c>
      <c r="W157">
        <v>0</v>
      </c>
      <c r="X157">
        <v>-494962278</v>
      </c>
      <c r="Y157">
        <v>0.00012</v>
      </c>
      <c r="AA157">
        <v>16798.8</v>
      </c>
      <c r="AB157">
        <v>0</v>
      </c>
      <c r="AC157">
        <v>0</v>
      </c>
      <c r="AD157">
        <v>0</v>
      </c>
      <c r="AE157">
        <v>16798.8</v>
      </c>
      <c r="AF157">
        <v>0</v>
      </c>
      <c r="AG157">
        <v>0</v>
      </c>
      <c r="AH157">
        <v>0</v>
      </c>
      <c r="AI157">
        <v>1</v>
      </c>
      <c r="AJ157">
        <v>1</v>
      </c>
      <c r="AK157">
        <v>1</v>
      </c>
      <c r="AL157">
        <v>1</v>
      </c>
      <c r="AN157">
        <v>0</v>
      </c>
      <c r="AO157">
        <v>0</v>
      </c>
      <c r="AP157">
        <v>1</v>
      </c>
      <c r="AQ157">
        <v>1</v>
      </c>
      <c r="AR157">
        <v>0</v>
      </c>
      <c r="AT157">
        <v>0.00012</v>
      </c>
      <c r="AV157">
        <v>0</v>
      </c>
      <c r="AW157">
        <v>2</v>
      </c>
      <c r="AX157">
        <v>26995448</v>
      </c>
      <c r="AY157">
        <v>2</v>
      </c>
      <c r="AZ157">
        <v>16384</v>
      </c>
      <c r="BA157">
        <v>195</v>
      </c>
      <c r="BB157">
        <v>1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2.015856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1</v>
      </c>
      <c r="BQ157">
        <v>2.015856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1</v>
      </c>
      <c r="CX157">
        <f>Y157*Source!I49</f>
        <v>0.005528760000000001</v>
      </c>
      <c r="CY157">
        <f>AA157</f>
        <v>16798.8</v>
      </c>
      <c r="CZ157">
        <f>AE157</f>
        <v>16798.8</v>
      </c>
      <c r="DA157">
        <f>AI157</f>
        <v>1</v>
      </c>
      <c r="DB157">
        <v>0</v>
      </c>
    </row>
    <row r="158" spans="1:106" ht="12.75">
      <c r="A158">
        <f>ROW(Source!A49)</f>
        <v>49</v>
      </c>
      <c r="B158">
        <v>26994759</v>
      </c>
      <c r="C158">
        <v>26995428</v>
      </c>
      <c r="D158">
        <v>24323719</v>
      </c>
      <c r="E158">
        <v>1</v>
      </c>
      <c r="F158">
        <v>1</v>
      </c>
      <c r="G158">
        <v>1</v>
      </c>
      <c r="H158">
        <v>3</v>
      </c>
      <c r="I158" t="s">
        <v>534</v>
      </c>
      <c r="J158" t="s">
        <v>535</v>
      </c>
      <c r="K158" t="s">
        <v>536</v>
      </c>
      <c r="L158">
        <v>1348</v>
      </c>
      <c r="N158">
        <v>1009</v>
      </c>
      <c r="O158" t="s">
        <v>203</v>
      </c>
      <c r="P158" t="s">
        <v>203</v>
      </c>
      <c r="Q158">
        <v>1000</v>
      </c>
      <c r="W158">
        <v>0</v>
      </c>
      <c r="X158">
        <v>-1951853478</v>
      </c>
      <c r="Y158">
        <v>5E-05</v>
      </c>
      <c r="AA158">
        <v>350700.9</v>
      </c>
      <c r="AB158">
        <v>0</v>
      </c>
      <c r="AC158">
        <v>0</v>
      </c>
      <c r="AD158">
        <v>0</v>
      </c>
      <c r="AE158">
        <v>350700.9</v>
      </c>
      <c r="AF158">
        <v>0</v>
      </c>
      <c r="AG158">
        <v>0</v>
      </c>
      <c r="AH158">
        <v>0</v>
      </c>
      <c r="AI158">
        <v>1</v>
      </c>
      <c r="AJ158">
        <v>1</v>
      </c>
      <c r="AK158">
        <v>1</v>
      </c>
      <c r="AL158">
        <v>1</v>
      </c>
      <c r="AN158">
        <v>0</v>
      </c>
      <c r="AO158">
        <v>0</v>
      </c>
      <c r="AP158">
        <v>0</v>
      </c>
      <c r="AQ158">
        <v>1</v>
      </c>
      <c r="AR158">
        <v>0</v>
      </c>
      <c r="AT158">
        <v>5E-05</v>
      </c>
      <c r="AV158">
        <v>0</v>
      </c>
      <c r="AW158">
        <v>2</v>
      </c>
      <c r="AX158">
        <v>26995449</v>
      </c>
      <c r="AY158">
        <v>2</v>
      </c>
      <c r="AZ158">
        <v>16384</v>
      </c>
      <c r="BA158">
        <v>196</v>
      </c>
      <c r="BB158">
        <v>1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17.535045000000004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1</v>
      </c>
      <c r="BQ158">
        <v>17.535045000000004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1</v>
      </c>
      <c r="CX158">
        <f>Y158*Source!I49</f>
        <v>0.00230365</v>
      </c>
      <c r="CY158">
        <f>AA158</f>
        <v>350700.9</v>
      </c>
      <c r="CZ158">
        <f>AE158</f>
        <v>350700.9</v>
      </c>
      <c r="DA158">
        <f>AI158</f>
        <v>1</v>
      </c>
      <c r="DB158">
        <v>0</v>
      </c>
    </row>
    <row r="159" spans="1:106" ht="12.75">
      <c r="A159">
        <f>ROW(Source!A50)</f>
        <v>50</v>
      </c>
      <c r="B159">
        <v>26994759</v>
      </c>
      <c r="C159">
        <v>26995484</v>
      </c>
      <c r="D159">
        <v>9415808</v>
      </c>
      <c r="E159">
        <v>1</v>
      </c>
      <c r="F159">
        <v>1</v>
      </c>
      <c r="G159">
        <v>1</v>
      </c>
      <c r="H159">
        <v>1</v>
      </c>
      <c r="I159" t="s">
        <v>413</v>
      </c>
      <c r="K159" t="s">
        <v>414</v>
      </c>
      <c r="L159">
        <v>1369</v>
      </c>
      <c r="N159">
        <v>1013</v>
      </c>
      <c r="O159" t="s">
        <v>323</v>
      </c>
      <c r="P159" t="s">
        <v>323</v>
      </c>
      <c r="Q159">
        <v>1</v>
      </c>
      <c r="W159">
        <v>0</v>
      </c>
      <c r="X159">
        <v>586545355</v>
      </c>
      <c r="Y159">
        <v>103.91</v>
      </c>
      <c r="AA159">
        <v>0</v>
      </c>
      <c r="AB159">
        <v>0</v>
      </c>
      <c r="AC159">
        <v>0</v>
      </c>
      <c r="AD159">
        <v>119.25</v>
      </c>
      <c r="AE159">
        <v>0</v>
      </c>
      <c r="AF159">
        <v>0</v>
      </c>
      <c r="AG159">
        <v>0</v>
      </c>
      <c r="AH159">
        <v>119.25</v>
      </c>
      <c r="AI159">
        <v>1</v>
      </c>
      <c r="AJ159">
        <v>1</v>
      </c>
      <c r="AK159">
        <v>1</v>
      </c>
      <c r="AL159">
        <v>1</v>
      </c>
      <c r="AN159">
        <v>0</v>
      </c>
      <c r="AO159">
        <v>0</v>
      </c>
      <c r="AP159">
        <v>1</v>
      </c>
      <c r="AQ159">
        <v>1</v>
      </c>
      <c r="AR159">
        <v>0</v>
      </c>
      <c r="AT159">
        <v>103.91</v>
      </c>
      <c r="AV159">
        <v>1</v>
      </c>
      <c r="AW159">
        <v>2</v>
      </c>
      <c r="AX159">
        <v>26995488</v>
      </c>
      <c r="AY159">
        <v>2</v>
      </c>
      <c r="AZ159">
        <v>131072</v>
      </c>
      <c r="BA159">
        <v>197</v>
      </c>
      <c r="BB159">
        <v>1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12391.2675</v>
      </c>
      <c r="BN159">
        <v>103.91</v>
      </c>
      <c r="BO159">
        <v>0</v>
      </c>
      <c r="BP159">
        <v>1</v>
      </c>
      <c r="BQ159">
        <v>0</v>
      </c>
      <c r="BR159">
        <v>0</v>
      </c>
      <c r="BS159">
        <v>0</v>
      </c>
      <c r="BT159">
        <v>12391.2675</v>
      </c>
      <c r="BU159">
        <v>103.91</v>
      </c>
      <c r="BV159">
        <v>0</v>
      </c>
      <c r="BW159">
        <v>1</v>
      </c>
      <c r="CX159">
        <f>Y159*Source!I50</f>
        <v>7.58543</v>
      </c>
      <c r="CY159">
        <f>AD159</f>
        <v>119.25</v>
      </c>
      <c r="CZ159">
        <f>AH159</f>
        <v>119.25</v>
      </c>
      <c r="DA159">
        <f>AL159</f>
        <v>1</v>
      </c>
      <c r="DB159">
        <v>0</v>
      </c>
    </row>
    <row r="160" spans="1:106" ht="12.75">
      <c r="A160">
        <f>ROW(Source!A50)</f>
        <v>50</v>
      </c>
      <c r="B160">
        <v>26994759</v>
      </c>
      <c r="C160">
        <v>26995484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K160" t="s">
        <v>358</v>
      </c>
      <c r="L160">
        <v>608254</v>
      </c>
      <c r="N160">
        <v>1013</v>
      </c>
      <c r="O160" t="s">
        <v>359</v>
      </c>
      <c r="P160" t="s">
        <v>359</v>
      </c>
      <c r="Q160">
        <v>1</v>
      </c>
      <c r="W160">
        <v>0</v>
      </c>
      <c r="X160">
        <v>-185737400</v>
      </c>
      <c r="Y160">
        <v>7.74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1</v>
      </c>
      <c r="AJ160">
        <v>1</v>
      </c>
      <c r="AK160">
        <v>1</v>
      </c>
      <c r="AL160">
        <v>1</v>
      </c>
      <c r="AN160">
        <v>0</v>
      </c>
      <c r="AO160">
        <v>0</v>
      </c>
      <c r="AP160">
        <v>0</v>
      </c>
      <c r="AQ160">
        <v>1</v>
      </c>
      <c r="AR160">
        <v>0</v>
      </c>
      <c r="AT160">
        <v>7.74</v>
      </c>
      <c r="AV160">
        <v>2</v>
      </c>
      <c r="AW160">
        <v>2</v>
      </c>
      <c r="AX160">
        <v>26995489</v>
      </c>
      <c r="AY160">
        <v>1</v>
      </c>
      <c r="AZ160">
        <v>0</v>
      </c>
      <c r="BA160">
        <v>198</v>
      </c>
      <c r="BB160">
        <v>1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7.74</v>
      </c>
      <c r="BP160">
        <v>1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7.74</v>
      </c>
      <c r="BW160">
        <v>1</v>
      </c>
      <c r="CX160">
        <f>Y160*Source!I50</f>
        <v>0.56502</v>
      </c>
      <c r="CY160">
        <f>AD160</f>
        <v>0</v>
      </c>
      <c r="CZ160">
        <f>AH160</f>
        <v>0</v>
      </c>
      <c r="DA160">
        <f>AL160</f>
        <v>1</v>
      </c>
      <c r="DB160">
        <v>0</v>
      </c>
    </row>
    <row r="161" spans="1:106" ht="12.75">
      <c r="A161">
        <f>ROW(Source!A50)</f>
        <v>50</v>
      </c>
      <c r="B161">
        <v>26994759</v>
      </c>
      <c r="C161">
        <v>26995484</v>
      </c>
      <c r="D161">
        <v>24312004</v>
      </c>
      <c r="E161">
        <v>1</v>
      </c>
      <c r="F161">
        <v>1</v>
      </c>
      <c r="G161">
        <v>1</v>
      </c>
      <c r="H161">
        <v>2</v>
      </c>
      <c r="I161" t="s">
        <v>389</v>
      </c>
      <c r="J161" t="s">
        <v>390</v>
      </c>
      <c r="K161" t="s">
        <v>391</v>
      </c>
      <c r="L161">
        <v>1368</v>
      </c>
      <c r="N161">
        <v>1011</v>
      </c>
      <c r="O161" t="s">
        <v>327</v>
      </c>
      <c r="P161" t="s">
        <v>327</v>
      </c>
      <c r="Q161">
        <v>1</v>
      </c>
      <c r="W161">
        <v>0</v>
      </c>
      <c r="X161">
        <v>1499254570</v>
      </c>
      <c r="Y161">
        <v>7.74</v>
      </c>
      <c r="AA161">
        <v>0</v>
      </c>
      <c r="AB161">
        <v>246.77</v>
      </c>
      <c r="AC161">
        <v>0</v>
      </c>
      <c r="AD161">
        <v>0</v>
      </c>
      <c r="AE161">
        <v>0</v>
      </c>
      <c r="AF161">
        <v>246.77</v>
      </c>
      <c r="AG161">
        <v>0</v>
      </c>
      <c r="AH161">
        <v>0</v>
      </c>
      <c r="AI161">
        <v>1</v>
      </c>
      <c r="AJ161">
        <v>1</v>
      </c>
      <c r="AK161">
        <v>1</v>
      </c>
      <c r="AL161">
        <v>1</v>
      </c>
      <c r="AN161">
        <v>0</v>
      </c>
      <c r="AO161">
        <v>0</v>
      </c>
      <c r="AP161">
        <v>1</v>
      </c>
      <c r="AQ161">
        <v>1</v>
      </c>
      <c r="AR161">
        <v>0</v>
      </c>
      <c r="AT161">
        <v>7.74</v>
      </c>
      <c r="AV161">
        <v>0</v>
      </c>
      <c r="AW161">
        <v>2</v>
      </c>
      <c r="AX161">
        <v>26995490</v>
      </c>
      <c r="AY161">
        <v>2</v>
      </c>
      <c r="AZ161">
        <v>98304</v>
      </c>
      <c r="BA161">
        <v>199</v>
      </c>
      <c r="BB161">
        <v>1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1909.9998</v>
      </c>
      <c r="BL161">
        <v>0</v>
      </c>
      <c r="BM161">
        <v>0</v>
      </c>
      <c r="BN161">
        <v>0</v>
      </c>
      <c r="BO161">
        <v>0</v>
      </c>
      <c r="BP161">
        <v>1</v>
      </c>
      <c r="BQ161">
        <v>0</v>
      </c>
      <c r="BR161">
        <v>1909.9998</v>
      </c>
      <c r="BS161">
        <v>0</v>
      </c>
      <c r="BT161">
        <v>0</v>
      </c>
      <c r="BU161">
        <v>0</v>
      </c>
      <c r="BV161">
        <v>0</v>
      </c>
      <c r="BW161">
        <v>1</v>
      </c>
      <c r="CX161">
        <f>Y161*Source!I50</f>
        <v>0.56502</v>
      </c>
      <c r="CY161">
        <f>AB161</f>
        <v>246.77</v>
      </c>
      <c r="CZ161">
        <f>AF161</f>
        <v>246.77</v>
      </c>
      <c r="DA161">
        <f>AJ161</f>
        <v>1</v>
      </c>
      <c r="DB161">
        <v>0</v>
      </c>
    </row>
    <row r="162" spans="1:106" ht="12.75">
      <c r="A162">
        <f>ROW(Source!A51)</f>
        <v>51</v>
      </c>
      <c r="B162">
        <v>26994759</v>
      </c>
      <c r="C162">
        <v>26995491</v>
      </c>
      <c r="D162">
        <v>9417175</v>
      </c>
      <c r="E162">
        <v>1</v>
      </c>
      <c r="F162">
        <v>1</v>
      </c>
      <c r="G162">
        <v>1</v>
      </c>
      <c r="H162">
        <v>1</v>
      </c>
      <c r="I162" t="s">
        <v>537</v>
      </c>
      <c r="K162" t="s">
        <v>538</v>
      </c>
      <c r="L162">
        <v>1369</v>
      </c>
      <c r="N162">
        <v>1013</v>
      </c>
      <c r="O162" t="s">
        <v>323</v>
      </c>
      <c r="P162" t="s">
        <v>323</v>
      </c>
      <c r="Q162">
        <v>1</v>
      </c>
      <c r="W162">
        <v>0</v>
      </c>
      <c r="X162">
        <v>-708165982</v>
      </c>
      <c r="Y162">
        <v>3.1969999999999996</v>
      </c>
      <c r="AA162">
        <v>0</v>
      </c>
      <c r="AB162">
        <v>0</v>
      </c>
      <c r="AC162">
        <v>0</v>
      </c>
      <c r="AD162">
        <v>148.4</v>
      </c>
      <c r="AE162">
        <v>0</v>
      </c>
      <c r="AF162">
        <v>0</v>
      </c>
      <c r="AG162">
        <v>0</v>
      </c>
      <c r="AH162">
        <v>148.4</v>
      </c>
      <c r="AI162">
        <v>1</v>
      </c>
      <c r="AJ162">
        <v>1</v>
      </c>
      <c r="AK162">
        <v>1</v>
      </c>
      <c r="AL162">
        <v>1</v>
      </c>
      <c r="AN162">
        <v>0</v>
      </c>
      <c r="AO162">
        <v>0</v>
      </c>
      <c r="AP162">
        <v>1</v>
      </c>
      <c r="AQ162">
        <v>1</v>
      </c>
      <c r="AR162">
        <v>0</v>
      </c>
      <c r="AT162">
        <v>2.78</v>
      </c>
      <c r="AU162" t="s">
        <v>18</v>
      </c>
      <c r="AV162">
        <v>1</v>
      </c>
      <c r="AW162">
        <v>2</v>
      </c>
      <c r="AX162">
        <v>26995501</v>
      </c>
      <c r="AY162">
        <v>2</v>
      </c>
      <c r="AZ162">
        <v>131072</v>
      </c>
      <c r="BA162">
        <v>200</v>
      </c>
      <c r="BB162">
        <v>1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412.55199999999996</v>
      </c>
      <c r="BN162">
        <v>2.78</v>
      </c>
      <c r="BO162">
        <v>0</v>
      </c>
      <c r="BP162">
        <v>1</v>
      </c>
      <c r="BQ162">
        <v>0</v>
      </c>
      <c r="BR162">
        <v>0</v>
      </c>
      <c r="BS162">
        <v>0</v>
      </c>
      <c r="BT162">
        <v>474.43479999999994</v>
      </c>
      <c r="BU162">
        <v>3.1969999999999996</v>
      </c>
      <c r="BV162">
        <v>0</v>
      </c>
      <c r="BW162">
        <v>1</v>
      </c>
      <c r="CX162">
        <f>Y162*Source!I51</f>
        <v>23.338099999999997</v>
      </c>
      <c r="CY162">
        <f>AD162</f>
        <v>148.4</v>
      </c>
      <c r="CZ162">
        <f>AH162</f>
        <v>148.4</v>
      </c>
      <c r="DA162">
        <f>AL162</f>
        <v>1</v>
      </c>
      <c r="DB162">
        <v>0</v>
      </c>
    </row>
    <row r="163" spans="1:106" ht="12.75">
      <c r="A163">
        <f>ROW(Source!A51)</f>
        <v>51</v>
      </c>
      <c r="B163">
        <v>26994759</v>
      </c>
      <c r="C163">
        <v>26995491</v>
      </c>
      <c r="D163">
        <v>21285419</v>
      </c>
      <c r="E163">
        <v>1</v>
      </c>
      <c r="F163">
        <v>1</v>
      </c>
      <c r="G163">
        <v>1</v>
      </c>
      <c r="H163">
        <v>2</v>
      </c>
      <c r="I163" t="s">
        <v>539</v>
      </c>
      <c r="J163" t="s">
        <v>540</v>
      </c>
      <c r="K163" t="s">
        <v>541</v>
      </c>
      <c r="L163">
        <v>1368</v>
      </c>
      <c r="N163">
        <v>1011</v>
      </c>
      <c r="O163" t="s">
        <v>327</v>
      </c>
      <c r="P163" t="s">
        <v>327</v>
      </c>
      <c r="Q163">
        <v>1</v>
      </c>
      <c r="W163">
        <v>0</v>
      </c>
      <c r="X163">
        <v>1145075814</v>
      </c>
      <c r="Y163">
        <v>0.9125</v>
      </c>
      <c r="AA163">
        <v>0</v>
      </c>
      <c r="AB163">
        <v>33.39</v>
      </c>
      <c r="AC163">
        <v>0</v>
      </c>
      <c r="AD163">
        <v>0</v>
      </c>
      <c r="AE163">
        <v>0</v>
      </c>
      <c r="AF163">
        <v>33.39</v>
      </c>
      <c r="AG163">
        <v>0</v>
      </c>
      <c r="AH163">
        <v>0</v>
      </c>
      <c r="AI163">
        <v>1</v>
      </c>
      <c r="AJ163">
        <v>1</v>
      </c>
      <c r="AK163">
        <v>1</v>
      </c>
      <c r="AL163">
        <v>1</v>
      </c>
      <c r="AN163">
        <v>0</v>
      </c>
      <c r="AO163">
        <v>0</v>
      </c>
      <c r="AP163">
        <v>1</v>
      </c>
      <c r="AQ163">
        <v>1</v>
      </c>
      <c r="AR163">
        <v>0</v>
      </c>
      <c r="AT163">
        <v>0.73</v>
      </c>
      <c r="AU163" t="s">
        <v>17</v>
      </c>
      <c r="AV163">
        <v>0</v>
      </c>
      <c r="AW163">
        <v>2</v>
      </c>
      <c r="AX163">
        <v>26995502</v>
      </c>
      <c r="AY163">
        <v>2</v>
      </c>
      <c r="AZ163">
        <v>32768</v>
      </c>
      <c r="BA163">
        <v>201</v>
      </c>
      <c r="BB163">
        <v>1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24.3747</v>
      </c>
      <c r="BL163">
        <v>0</v>
      </c>
      <c r="BM163">
        <v>0</v>
      </c>
      <c r="BN163">
        <v>0</v>
      </c>
      <c r="BO163">
        <v>0</v>
      </c>
      <c r="BP163">
        <v>1</v>
      </c>
      <c r="BQ163">
        <v>0</v>
      </c>
      <c r="BR163">
        <v>30.468374999999998</v>
      </c>
      <c r="BS163">
        <v>0</v>
      </c>
      <c r="BT163">
        <v>0</v>
      </c>
      <c r="BU163">
        <v>0</v>
      </c>
      <c r="BV163">
        <v>0</v>
      </c>
      <c r="BW163">
        <v>1</v>
      </c>
      <c r="CX163">
        <f>Y163*Source!I51</f>
        <v>6.66125</v>
      </c>
      <c r="CY163">
        <f>AB163</f>
        <v>33.39</v>
      </c>
      <c r="CZ163">
        <f>AF163</f>
        <v>33.39</v>
      </c>
      <c r="DA163">
        <f>AJ163</f>
        <v>1</v>
      </c>
      <c r="DB163">
        <v>0</v>
      </c>
    </row>
    <row r="164" spans="1:106" ht="12.75">
      <c r="A164">
        <f>ROW(Source!A51)</f>
        <v>51</v>
      </c>
      <c r="B164">
        <v>26994759</v>
      </c>
      <c r="C164">
        <v>26995491</v>
      </c>
      <c r="D164">
        <v>21331417</v>
      </c>
      <c r="E164">
        <v>1</v>
      </c>
      <c r="F164">
        <v>1</v>
      </c>
      <c r="G164">
        <v>1</v>
      </c>
      <c r="H164">
        <v>2</v>
      </c>
      <c r="I164" t="s">
        <v>324</v>
      </c>
      <c r="J164" t="s">
        <v>542</v>
      </c>
      <c r="K164" t="s">
        <v>326</v>
      </c>
      <c r="L164">
        <v>1368</v>
      </c>
      <c r="N164">
        <v>1011</v>
      </c>
      <c r="O164" t="s">
        <v>327</v>
      </c>
      <c r="P164" t="s">
        <v>327</v>
      </c>
      <c r="Q164">
        <v>1</v>
      </c>
      <c r="W164">
        <v>0</v>
      </c>
      <c r="X164">
        <v>-161196313</v>
      </c>
      <c r="Y164">
        <v>0.9625</v>
      </c>
      <c r="AA164">
        <v>0</v>
      </c>
      <c r="AB164">
        <v>11.91</v>
      </c>
      <c r="AC164">
        <v>0</v>
      </c>
      <c r="AD164">
        <v>0</v>
      </c>
      <c r="AE164">
        <v>0</v>
      </c>
      <c r="AF164">
        <v>11.91</v>
      </c>
      <c r="AG164">
        <v>0</v>
      </c>
      <c r="AH164">
        <v>0</v>
      </c>
      <c r="AI164">
        <v>1</v>
      </c>
      <c r="AJ164">
        <v>1</v>
      </c>
      <c r="AK164">
        <v>1</v>
      </c>
      <c r="AL164">
        <v>1</v>
      </c>
      <c r="AN164">
        <v>0</v>
      </c>
      <c r="AO164">
        <v>0</v>
      </c>
      <c r="AP164">
        <v>1</v>
      </c>
      <c r="AQ164">
        <v>1</v>
      </c>
      <c r="AR164">
        <v>0</v>
      </c>
      <c r="AT164">
        <v>0.77</v>
      </c>
      <c r="AU164" t="s">
        <v>17</v>
      </c>
      <c r="AV164">
        <v>0</v>
      </c>
      <c r="AW164">
        <v>2</v>
      </c>
      <c r="AX164">
        <v>26995503</v>
      </c>
      <c r="AY164">
        <v>2</v>
      </c>
      <c r="AZ164">
        <v>32768</v>
      </c>
      <c r="BA164">
        <v>202</v>
      </c>
      <c r="BB164">
        <v>1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9.1707</v>
      </c>
      <c r="BL164">
        <v>0</v>
      </c>
      <c r="BM164">
        <v>0</v>
      </c>
      <c r="BN164">
        <v>0</v>
      </c>
      <c r="BO164">
        <v>0</v>
      </c>
      <c r="BP164">
        <v>1</v>
      </c>
      <c r="BQ164">
        <v>0</v>
      </c>
      <c r="BR164">
        <v>11.463375000000001</v>
      </c>
      <c r="BS164">
        <v>0</v>
      </c>
      <c r="BT164">
        <v>0</v>
      </c>
      <c r="BU164">
        <v>0</v>
      </c>
      <c r="BV164">
        <v>0</v>
      </c>
      <c r="BW164">
        <v>1</v>
      </c>
      <c r="CX164">
        <f>Y164*Source!I51</f>
        <v>7.02625</v>
      </c>
      <c r="CY164">
        <f>AB164</f>
        <v>11.91</v>
      </c>
      <c r="CZ164">
        <f>AF164</f>
        <v>11.91</v>
      </c>
      <c r="DA164">
        <f>AJ164</f>
        <v>1</v>
      </c>
      <c r="DB164">
        <v>0</v>
      </c>
    </row>
    <row r="165" spans="1:106" ht="12.75">
      <c r="A165">
        <f>ROW(Source!A51)</f>
        <v>51</v>
      </c>
      <c r="B165">
        <v>26994759</v>
      </c>
      <c r="C165">
        <v>26995491</v>
      </c>
      <c r="D165">
        <v>21322901</v>
      </c>
      <c r="E165">
        <v>1</v>
      </c>
      <c r="F165">
        <v>1</v>
      </c>
      <c r="G165">
        <v>1</v>
      </c>
      <c r="H165">
        <v>2</v>
      </c>
      <c r="I165" t="s">
        <v>331</v>
      </c>
      <c r="J165" t="s">
        <v>543</v>
      </c>
      <c r="K165" t="s">
        <v>333</v>
      </c>
      <c r="L165">
        <v>1368</v>
      </c>
      <c r="N165">
        <v>1011</v>
      </c>
      <c r="O165" t="s">
        <v>327</v>
      </c>
      <c r="P165" t="s">
        <v>327</v>
      </c>
      <c r="Q165">
        <v>1</v>
      </c>
      <c r="W165">
        <v>0</v>
      </c>
      <c r="X165">
        <v>1523088608</v>
      </c>
      <c r="Y165">
        <v>0.9125</v>
      </c>
      <c r="AA165">
        <v>0</v>
      </c>
      <c r="AB165">
        <v>8.26</v>
      </c>
      <c r="AC165">
        <v>0</v>
      </c>
      <c r="AD165">
        <v>0</v>
      </c>
      <c r="AE165">
        <v>0</v>
      </c>
      <c r="AF165">
        <v>8.26</v>
      </c>
      <c r="AG165">
        <v>0</v>
      </c>
      <c r="AH165">
        <v>0</v>
      </c>
      <c r="AI165">
        <v>1</v>
      </c>
      <c r="AJ165">
        <v>1</v>
      </c>
      <c r="AK165">
        <v>1</v>
      </c>
      <c r="AL165">
        <v>1</v>
      </c>
      <c r="AN165">
        <v>0</v>
      </c>
      <c r="AO165">
        <v>0</v>
      </c>
      <c r="AP165">
        <v>1</v>
      </c>
      <c r="AQ165">
        <v>1</v>
      </c>
      <c r="AR165">
        <v>0</v>
      </c>
      <c r="AT165">
        <v>0.73</v>
      </c>
      <c r="AU165" t="s">
        <v>17</v>
      </c>
      <c r="AV165">
        <v>0</v>
      </c>
      <c r="AW165">
        <v>2</v>
      </c>
      <c r="AX165">
        <v>26995504</v>
      </c>
      <c r="AY165">
        <v>2</v>
      </c>
      <c r="AZ165">
        <v>32768</v>
      </c>
      <c r="BA165">
        <v>203</v>
      </c>
      <c r="BB165">
        <v>1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6.0298</v>
      </c>
      <c r="BL165">
        <v>0</v>
      </c>
      <c r="BM165">
        <v>0</v>
      </c>
      <c r="BN165">
        <v>0</v>
      </c>
      <c r="BO165">
        <v>0</v>
      </c>
      <c r="BP165">
        <v>1</v>
      </c>
      <c r="BQ165">
        <v>0</v>
      </c>
      <c r="BR165">
        <v>7.537249999999999</v>
      </c>
      <c r="BS165">
        <v>0</v>
      </c>
      <c r="BT165">
        <v>0</v>
      </c>
      <c r="BU165">
        <v>0</v>
      </c>
      <c r="BV165">
        <v>0</v>
      </c>
      <c r="BW165">
        <v>1</v>
      </c>
      <c r="CX165">
        <f>Y165*Source!I51</f>
        <v>6.66125</v>
      </c>
      <c r="CY165">
        <f>AB165</f>
        <v>8.26</v>
      </c>
      <c r="CZ165">
        <f>AF165</f>
        <v>8.26</v>
      </c>
      <c r="DA165">
        <f>AJ165</f>
        <v>1</v>
      </c>
      <c r="DB165">
        <v>0</v>
      </c>
    </row>
    <row r="166" spans="1:106" ht="12.75">
      <c r="A166">
        <f>ROW(Source!A51)</f>
        <v>51</v>
      </c>
      <c r="B166">
        <v>26994759</v>
      </c>
      <c r="C166">
        <v>26995491</v>
      </c>
      <c r="D166">
        <v>0</v>
      </c>
      <c r="E166">
        <v>0</v>
      </c>
      <c r="F166">
        <v>1</v>
      </c>
      <c r="G166">
        <v>1</v>
      </c>
      <c r="H166">
        <v>3</v>
      </c>
      <c r="K166" t="s">
        <v>544</v>
      </c>
      <c r="L166">
        <v>1354</v>
      </c>
      <c r="N166">
        <v>1010</v>
      </c>
      <c r="O166" t="s">
        <v>352</v>
      </c>
      <c r="P166" t="s">
        <v>352</v>
      </c>
      <c r="Q166">
        <v>1</v>
      </c>
      <c r="W166">
        <v>0</v>
      </c>
      <c r="X166">
        <v>-143820494</v>
      </c>
      <c r="Y166">
        <v>0.29411764705882354</v>
      </c>
      <c r="AA166">
        <v>1278.56</v>
      </c>
      <c r="AB166">
        <v>0</v>
      </c>
      <c r="AC166">
        <v>0</v>
      </c>
      <c r="AD166">
        <v>0</v>
      </c>
      <c r="AE166">
        <v>1278.56</v>
      </c>
      <c r="AF166">
        <v>0</v>
      </c>
      <c r="AG166">
        <v>0</v>
      </c>
      <c r="AH166">
        <v>0</v>
      </c>
      <c r="AI166">
        <v>1</v>
      </c>
      <c r="AJ166">
        <v>1</v>
      </c>
      <c r="AK166">
        <v>1</v>
      </c>
      <c r="AL166">
        <v>1</v>
      </c>
      <c r="AN166">
        <v>0</v>
      </c>
      <c r="AO166">
        <v>0</v>
      </c>
      <c r="AP166">
        <v>2</v>
      </c>
      <c r="AQ166">
        <v>1</v>
      </c>
      <c r="AR166">
        <v>0</v>
      </c>
      <c r="AT166">
        <v>0.29411764705882354</v>
      </c>
      <c r="AV166">
        <v>0</v>
      </c>
      <c r="AW166">
        <v>1</v>
      </c>
      <c r="AX166">
        <v>-1</v>
      </c>
      <c r="AY166">
        <v>0</v>
      </c>
      <c r="AZ166">
        <v>0</v>
      </c>
      <c r="BB166">
        <v>1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376.0470588235294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1</v>
      </c>
      <c r="BQ166">
        <v>376.0470588235294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1</v>
      </c>
      <c r="CX166">
        <f>Y166*Source!I51</f>
        <v>2.1470588235294117</v>
      </c>
      <c r="CY166">
        <f>AA166</f>
        <v>1278.56</v>
      </c>
      <c r="CZ166">
        <f>AE166</f>
        <v>1278.56</v>
      </c>
      <c r="DA166">
        <f>AI166</f>
        <v>1</v>
      </c>
      <c r="DB166">
        <v>0</v>
      </c>
    </row>
    <row r="167" spans="1:106" ht="12.75">
      <c r="A167">
        <f>ROW(Source!A51)</f>
        <v>51</v>
      </c>
      <c r="B167">
        <v>26994759</v>
      </c>
      <c r="C167">
        <v>26995491</v>
      </c>
      <c r="D167">
        <v>21307204</v>
      </c>
      <c r="E167">
        <v>1</v>
      </c>
      <c r="F167">
        <v>1</v>
      </c>
      <c r="G167">
        <v>1</v>
      </c>
      <c r="H167">
        <v>3</v>
      </c>
      <c r="I167" t="s">
        <v>545</v>
      </c>
      <c r="J167" t="s">
        <v>546</v>
      </c>
      <c r="K167" t="s">
        <v>547</v>
      </c>
      <c r="L167">
        <v>1348</v>
      </c>
      <c r="N167">
        <v>1009</v>
      </c>
      <c r="O167" t="s">
        <v>203</v>
      </c>
      <c r="P167" t="s">
        <v>203</v>
      </c>
      <c r="Q167">
        <v>1000</v>
      </c>
      <c r="W167">
        <v>0</v>
      </c>
      <c r="X167">
        <v>1096556115</v>
      </c>
      <c r="Y167">
        <v>8E-05</v>
      </c>
      <c r="AA167">
        <v>73728.81</v>
      </c>
      <c r="AB167">
        <v>0</v>
      </c>
      <c r="AC167">
        <v>0</v>
      </c>
      <c r="AD167">
        <v>0</v>
      </c>
      <c r="AE167">
        <v>73728.81</v>
      </c>
      <c r="AF167">
        <v>0</v>
      </c>
      <c r="AG167">
        <v>0</v>
      </c>
      <c r="AH167">
        <v>0</v>
      </c>
      <c r="AI167">
        <v>1</v>
      </c>
      <c r="AJ167">
        <v>1</v>
      </c>
      <c r="AK167">
        <v>1</v>
      </c>
      <c r="AL167">
        <v>1</v>
      </c>
      <c r="AN167">
        <v>0</v>
      </c>
      <c r="AO167">
        <v>0</v>
      </c>
      <c r="AP167">
        <v>0</v>
      </c>
      <c r="AQ167">
        <v>1</v>
      </c>
      <c r="AR167">
        <v>0</v>
      </c>
      <c r="AT167">
        <v>8E-05</v>
      </c>
      <c r="AV167">
        <v>0</v>
      </c>
      <c r="AW167">
        <v>2</v>
      </c>
      <c r="AX167">
        <v>26995506</v>
      </c>
      <c r="AY167">
        <v>2</v>
      </c>
      <c r="AZ167">
        <v>16384</v>
      </c>
      <c r="BA167">
        <v>205</v>
      </c>
      <c r="BB167">
        <v>1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5.8983048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1</v>
      </c>
      <c r="BQ167">
        <v>5.8983048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1</v>
      </c>
      <c r="CX167">
        <f>Y167*Source!I51</f>
        <v>0.000584</v>
      </c>
      <c r="CY167">
        <f>AA167</f>
        <v>73728.81</v>
      </c>
      <c r="CZ167">
        <f>AE167</f>
        <v>73728.81</v>
      </c>
      <c r="DA167">
        <f>AI167</f>
        <v>1</v>
      </c>
      <c r="DB167">
        <v>0</v>
      </c>
    </row>
    <row r="168" spans="1:106" ht="12.75">
      <c r="A168">
        <f>ROW(Source!A51)</f>
        <v>51</v>
      </c>
      <c r="B168">
        <v>26994759</v>
      </c>
      <c r="C168">
        <v>26995491</v>
      </c>
      <c r="D168">
        <v>21331961</v>
      </c>
      <c r="E168">
        <v>1</v>
      </c>
      <c r="F168">
        <v>1</v>
      </c>
      <c r="G168">
        <v>1</v>
      </c>
      <c r="H168">
        <v>3</v>
      </c>
      <c r="I168" t="s">
        <v>548</v>
      </c>
      <c r="J168" t="s">
        <v>549</v>
      </c>
      <c r="K168" t="s">
        <v>550</v>
      </c>
      <c r="L168">
        <v>1348</v>
      </c>
      <c r="N168">
        <v>1009</v>
      </c>
      <c r="O168" t="s">
        <v>203</v>
      </c>
      <c r="P168" t="s">
        <v>203</v>
      </c>
      <c r="Q168">
        <v>1000</v>
      </c>
      <c r="W168">
        <v>0</v>
      </c>
      <c r="X168">
        <v>595706257</v>
      </c>
      <c r="Y168">
        <v>0.003</v>
      </c>
      <c r="AA168">
        <v>98305.08</v>
      </c>
      <c r="AB168">
        <v>0</v>
      </c>
      <c r="AC168">
        <v>0</v>
      </c>
      <c r="AD168">
        <v>0</v>
      </c>
      <c r="AE168">
        <v>98305.08</v>
      </c>
      <c r="AF168">
        <v>0</v>
      </c>
      <c r="AG168">
        <v>0</v>
      </c>
      <c r="AH168">
        <v>0</v>
      </c>
      <c r="AI168">
        <v>1</v>
      </c>
      <c r="AJ168">
        <v>1</v>
      </c>
      <c r="AK168">
        <v>1</v>
      </c>
      <c r="AL168">
        <v>1</v>
      </c>
      <c r="AN168">
        <v>0</v>
      </c>
      <c r="AO168">
        <v>0</v>
      </c>
      <c r="AP168">
        <v>0</v>
      </c>
      <c r="AQ168">
        <v>1</v>
      </c>
      <c r="AR168">
        <v>0</v>
      </c>
      <c r="AT168">
        <v>0.003</v>
      </c>
      <c r="AV168">
        <v>0</v>
      </c>
      <c r="AW168">
        <v>2</v>
      </c>
      <c r="AX168">
        <v>26995507</v>
      </c>
      <c r="AY168">
        <v>2</v>
      </c>
      <c r="AZ168">
        <v>16384</v>
      </c>
      <c r="BA168">
        <v>206</v>
      </c>
      <c r="BB168">
        <v>1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294.91524000000004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1</v>
      </c>
      <c r="BQ168">
        <v>294.91524000000004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1</v>
      </c>
      <c r="CX168">
        <f>Y168*Source!I51</f>
        <v>0.0219</v>
      </c>
      <c r="CY168">
        <f>AA168</f>
        <v>98305.08</v>
      </c>
      <c r="CZ168">
        <f>AE168</f>
        <v>98305.08</v>
      </c>
      <c r="DA168">
        <f>AI168</f>
        <v>1</v>
      </c>
      <c r="DB168">
        <v>0</v>
      </c>
    </row>
    <row r="169" spans="1:106" ht="12.75">
      <c r="A169">
        <f>ROW(Source!A51)</f>
        <v>51</v>
      </c>
      <c r="B169">
        <v>26994759</v>
      </c>
      <c r="C169">
        <v>26995491</v>
      </c>
      <c r="D169">
        <v>21339616</v>
      </c>
      <c r="E169">
        <v>1</v>
      </c>
      <c r="F169">
        <v>1</v>
      </c>
      <c r="G169">
        <v>1</v>
      </c>
      <c r="H169">
        <v>3</v>
      </c>
      <c r="I169" t="s">
        <v>551</v>
      </c>
      <c r="J169" t="s">
        <v>552</v>
      </c>
      <c r="K169" t="s">
        <v>553</v>
      </c>
      <c r="L169">
        <v>1354</v>
      </c>
      <c r="N169">
        <v>1010</v>
      </c>
      <c r="O169" t="s">
        <v>352</v>
      </c>
      <c r="P169" t="s">
        <v>352</v>
      </c>
      <c r="Q169">
        <v>1</v>
      </c>
      <c r="W169">
        <v>0</v>
      </c>
      <c r="X169">
        <v>1417586338</v>
      </c>
      <c r="Y169">
        <v>0.18965517241379312</v>
      </c>
      <c r="AA169">
        <v>279.66</v>
      </c>
      <c r="AB169">
        <v>0</v>
      </c>
      <c r="AC169">
        <v>0</v>
      </c>
      <c r="AD169">
        <v>0</v>
      </c>
      <c r="AE169">
        <v>279.66</v>
      </c>
      <c r="AF169">
        <v>0</v>
      </c>
      <c r="AG169">
        <v>0</v>
      </c>
      <c r="AH169">
        <v>0</v>
      </c>
      <c r="AI169">
        <v>1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1</v>
      </c>
      <c r="AR169">
        <v>0</v>
      </c>
      <c r="AT169">
        <v>0.18965517241379312</v>
      </c>
      <c r="AV169">
        <v>0</v>
      </c>
      <c r="AW169">
        <v>2</v>
      </c>
      <c r="AX169">
        <v>26995508</v>
      </c>
      <c r="AY169">
        <v>2</v>
      </c>
      <c r="AZ169">
        <v>22528</v>
      </c>
      <c r="BA169">
        <v>207</v>
      </c>
      <c r="BB169">
        <v>1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53.03896551724139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1</v>
      </c>
      <c r="BQ169">
        <v>53.03896551724139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1</v>
      </c>
      <c r="CX169">
        <f>Y169*Source!I51</f>
        <v>1.3844827586206898</v>
      </c>
      <c r="CY169">
        <f>AA169</f>
        <v>279.66</v>
      </c>
      <c r="CZ169">
        <f>AE169</f>
        <v>279.66</v>
      </c>
      <c r="DA169">
        <f>AI169</f>
        <v>1</v>
      </c>
      <c r="DB169">
        <v>0</v>
      </c>
    </row>
    <row r="170" spans="1:106" ht="12.75">
      <c r="A170">
        <f>ROW(Source!A51)</f>
        <v>51</v>
      </c>
      <c r="B170">
        <v>26994759</v>
      </c>
      <c r="C170">
        <v>26995491</v>
      </c>
      <c r="D170">
        <v>21339619</v>
      </c>
      <c r="E170">
        <v>1</v>
      </c>
      <c r="F170">
        <v>1</v>
      </c>
      <c r="G170">
        <v>1</v>
      </c>
      <c r="H170">
        <v>3</v>
      </c>
      <c r="I170" t="s">
        <v>554</v>
      </c>
      <c r="J170" t="s">
        <v>555</v>
      </c>
      <c r="K170" t="s">
        <v>556</v>
      </c>
      <c r="L170">
        <v>1354</v>
      </c>
      <c r="N170">
        <v>1010</v>
      </c>
      <c r="O170" t="s">
        <v>352</v>
      </c>
      <c r="P170" t="s">
        <v>352</v>
      </c>
      <c r="Q170">
        <v>1</v>
      </c>
      <c r="W170">
        <v>0</v>
      </c>
      <c r="X170">
        <v>-1423375278</v>
      </c>
      <c r="Y170">
        <v>0.273972602739726</v>
      </c>
      <c r="AA170">
        <v>21868.64</v>
      </c>
      <c r="AB170">
        <v>0</v>
      </c>
      <c r="AC170">
        <v>0</v>
      </c>
      <c r="AD170">
        <v>0</v>
      </c>
      <c r="AE170">
        <v>21868.64</v>
      </c>
      <c r="AF170">
        <v>0</v>
      </c>
      <c r="AG170">
        <v>0</v>
      </c>
      <c r="AH170">
        <v>0</v>
      </c>
      <c r="AI170">
        <v>1</v>
      </c>
      <c r="AJ170">
        <v>1</v>
      </c>
      <c r="AK170">
        <v>1</v>
      </c>
      <c r="AL170">
        <v>1</v>
      </c>
      <c r="AN170">
        <v>1</v>
      </c>
      <c r="AO170">
        <v>0</v>
      </c>
      <c r="AP170">
        <v>0</v>
      </c>
      <c r="AQ170">
        <v>1</v>
      </c>
      <c r="AR170">
        <v>0</v>
      </c>
      <c r="AT170">
        <v>0.273972602739726</v>
      </c>
      <c r="AV170">
        <v>0</v>
      </c>
      <c r="AW170">
        <v>2</v>
      </c>
      <c r="AX170">
        <v>26995509</v>
      </c>
      <c r="AY170">
        <v>2</v>
      </c>
      <c r="AZ170">
        <v>22528</v>
      </c>
      <c r="BA170">
        <v>208</v>
      </c>
      <c r="BB170">
        <v>1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5991.408219178082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1</v>
      </c>
      <c r="BQ170">
        <v>5991.408219178082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1</v>
      </c>
      <c r="CX170">
        <f>Y170*Source!I51</f>
        <v>1.9999999999999998</v>
      </c>
      <c r="CY170">
        <f>AA170</f>
        <v>21868.64</v>
      </c>
      <c r="CZ170">
        <f>AE170</f>
        <v>21868.64</v>
      </c>
      <c r="DA170">
        <f>AI170</f>
        <v>1</v>
      </c>
      <c r="DB170">
        <v>0</v>
      </c>
    </row>
    <row r="171" spans="1:106" ht="12.75">
      <c r="A171">
        <f>ROW(Source!A52)</f>
        <v>52</v>
      </c>
      <c r="B171">
        <v>26994759</v>
      </c>
      <c r="C171">
        <v>26995510</v>
      </c>
      <c r="D171">
        <v>9415639</v>
      </c>
      <c r="E171">
        <v>1</v>
      </c>
      <c r="F171">
        <v>1</v>
      </c>
      <c r="G171">
        <v>1</v>
      </c>
      <c r="H171">
        <v>1</v>
      </c>
      <c r="I171" t="s">
        <v>557</v>
      </c>
      <c r="K171" t="s">
        <v>558</v>
      </c>
      <c r="L171">
        <v>1369</v>
      </c>
      <c r="N171">
        <v>1013</v>
      </c>
      <c r="O171" t="s">
        <v>323</v>
      </c>
      <c r="P171" t="s">
        <v>323</v>
      </c>
      <c r="Q171">
        <v>1</v>
      </c>
      <c r="W171">
        <v>0</v>
      </c>
      <c r="X171">
        <v>-1776080102</v>
      </c>
      <c r="Y171">
        <v>80.73</v>
      </c>
      <c r="AA171">
        <v>0</v>
      </c>
      <c r="AB171">
        <v>0</v>
      </c>
      <c r="AC171">
        <v>0</v>
      </c>
      <c r="AD171">
        <v>127.31</v>
      </c>
      <c r="AE171">
        <v>0</v>
      </c>
      <c r="AF171">
        <v>0</v>
      </c>
      <c r="AG171">
        <v>0</v>
      </c>
      <c r="AH171">
        <v>127.31</v>
      </c>
      <c r="AI171">
        <v>1</v>
      </c>
      <c r="AJ171">
        <v>1</v>
      </c>
      <c r="AK171">
        <v>1</v>
      </c>
      <c r="AL171">
        <v>1</v>
      </c>
      <c r="AN171">
        <v>0</v>
      </c>
      <c r="AO171">
        <v>0</v>
      </c>
      <c r="AP171">
        <v>1</v>
      </c>
      <c r="AQ171">
        <v>1</v>
      </c>
      <c r="AR171">
        <v>0</v>
      </c>
      <c r="AT171">
        <v>70.2</v>
      </c>
      <c r="AU171" t="s">
        <v>18</v>
      </c>
      <c r="AV171">
        <v>1</v>
      </c>
      <c r="AW171">
        <v>2</v>
      </c>
      <c r="AX171">
        <v>26995516</v>
      </c>
      <c r="AY171">
        <v>2</v>
      </c>
      <c r="AZ171">
        <v>131072</v>
      </c>
      <c r="BA171">
        <v>209</v>
      </c>
      <c r="BB171">
        <v>1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8937.162</v>
      </c>
      <c r="BN171">
        <v>70.2</v>
      </c>
      <c r="BO171">
        <v>0</v>
      </c>
      <c r="BP171">
        <v>1</v>
      </c>
      <c r="BQ171">
        <v>0</v>
      </c>
      <c r="BR171">
        <v>0</v>
      </c>
      <c r="BS171">
        <v>0</v>
      </c>
      <c r="BT171">
        <v>10277.7363</v>
      </c>
      <c r="BU171">
        <v>80.73</v>
      </c>
      <c r="BV171">
        <v>0</v>
      </c>
      <c r="BW171">
        <v>1</v>
      </c>
      <c r="CX171">
        <f>Y171*Source!I52</f>
        <v>28.17477</v>
      </c>
      <c r="CY171">
        <f>AD171</f>
        <v>127.31</v>
      </c>
      <c r="CZ171">
        <f>AH171</f>
        <v>127.31</v>
      </c>
      <c r="DA171">
        <f>AL171</f>
        <v>1</v>
      </c>
      <c r="DB171">
        <v>0</v>
      </c>
    </row>
    <row r="172" spans="1:106" ht="12.75">
      <c r="A172">
        <f>ROW(Source!A52)</f>
        <v>52</v>
      </c>
      <c r="B172">
        <v>26994759</v>
      </c>
      <c r="C172">
        <v>26995510</v>
      </c>
      <c r="D172">
        <v>21280770</v>
      </c>
      <c r="E172">
        <v>1</v>
      </c>
      <c r="F172">
        <v>1</v>
      </c>
      <c r="G172">
        <v>1</v>
      </c>
      <c r="H172">
        <v>2</v>
      </c>
      <c r="I172" t="s">
        <v>371</v>
      </c>
      <c r="J172" t="s">
        <v>458</v>
      </c>
      <c r="K172" t="s">
        <v>373</v>
      </c>
      <c r="L172">
        <v>1368</v>
      </c>
      <c r="N172">
        <v>1011</v>
      </c>
      <c r="O172" t="s">
        <v>327</v>
      </c>
      <c r="P172" t="s">
        <v>327</v>
      </c>
      <c r="Q172">
        <v>1</v>
      </c>
      <c r="W172">
        <v>0</v>
      </c>
      <c r="X172">
        <v>-516600551</v>
      </c>
      <c r="Y172">
        <v>0.22499999999999998</v>
      </c>
      <c r="AA172">
        <v>0</v>
      </c>
      <c r="AB172">
        <v>691.3</v>
      </c>
      <c r="AC172">
        <v>0</v>
      </c>
      <c r="AD172">
        <v>0</v>
      </c>
      <c r="AE172">
        <v>0</v>
      </c>
      <c r="AF172">
        <v>691.3</v>
      </c>
      <c r="AG172">
        <v>0</v>
      </c>
      <c r="AH172">
        <v>0</v>
      </c>
      <c r="AI172">
        <v>1</v>
      </c>
      <c r="AJ172">
        <v>1</v>
      </c>
      <c r="AK172">
        <v>1</v>
      </c>
      <c r="AL172">
        <v>1</v>
      </c>
      <c r="AN172">
        <v>0</v>
      </c>
      <c r="AO172">
        <v>0</v>
      </c>
      <c r="AP172">
        <v>1</v>
      </c>
      <c r="AQ172">
        <v>1</v>
      </c>
      <c r="AR172">
        <v>0</v>
      </c>
      <c r="AT172">
        <v>0.18</v>
      </c>
      <c r="AU172" t="s">
        <v>17</v>
      </c>
      <c r="AV172">
        <v>0</v>
      </c>
      <c r="AW172">
        <v>2</v>
      </c>
      <c r="AX172">
        <v>26995517</v>
      </c>
      <c r="AY172">
        <v>2</v>
      </c>
      <c r="AZ172">
        <v>98304</v>
      </c>
      <c r="BA172">
        <v>210</v>
      </c>
      <c r="BB172">
        <v>1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124.43399999999998</v>
      </c>
      <c r="BL172">
        <v>0</v>
      </c>
      <c r="BM172">
        <v>0</v>
      </c>
      <c r="BN172">
        <v>0</v>
      </c>
      <c r="BO172">
        <v>0</v>
      </c>
      <c r="BP172">
        <v>1</v>
      </c>
      <c r="BQ172">
        <v>0</v>
      </c>
      <c r="BR172">
        <v>155.54249999999996</v>
      </c>
      <c r="BS172">
        <v>0</v>
      </c>
      <c r="BT172">
        <v>0</v>
      </c>
      <c r="BU172">
        <v>0</v>
      </c>
      <c r="BV172">
        <v>0</v>
      </c>
      <c r="BW172">
        <v>1</v>
      </c>
      <c r="CX172">
        <f>Y172*Source!I52</f>
        <v>0.07852499999999998</v>
      </c>
      <c r="CY172">
        <f>AB172</f>
        <v>691.3</v>
      </c>
      <c r="CZ172">
        <f>AF172</f>
        <v>691.3</v>
      </c>
      <c r="DA172">
        <f>AJ172</f>
        <v>1</v>
      </c>
      <c r="DB172">
        <v>0</v>
      </c>
    </row>
    <row r="173" spans="1:106" ht="12.75">
      <c r="A173">
        <f>ROW(Source!A52)</f>
        <v>52</v>
      </c>
      <c r="B173">
        <v>26994759</v>
      </c>
      <c r="C173">
        <v>26995510</v>
      </c>
      <c r="D173">
        <v>21333989</v>
      </c>
      <c r="E173">
        <v>1</v>
      </c>
      <c r="F173">
        <v>1</v>
      </c>
      <c r="G173">
        <v>1</v>
      </c>
      <c r="H173">
        <v>3</v>
      </c>
      <c r="I173" t="s">
        <v>559</v>
      </c>
      <c r="J173" t="s">
        <v>560</v>
      </c>
      <c r="K173" t="s">
        <v>561</v>
      </c>
      <c r="L173">
        <v>1339</v>
      </c>
      <c r="N173">
        <v>1007</v>
      </c>
      <c r="O173" t="s">
        <v>377</v>
      </c>
      <c r="P173" t="s">
        <v>377</v>
      </c>
      <c r="Q173">
        <v>1</v>
      </c>
      <c r="W173">
        <v>0</v>
      </c>
      <c r="X173">
        <v>-1331700974</v>
      </c>
      <c r="Y173">
        <v>0.008</v>
      </c>
      <c r="AA173">
        <v>5508.47</v>
      </c>
      <c r="AB173">
        <v>0</v>
      </c>
      <c r="AC173">
        <v>0</v>
      </c>
      <c r="AD173">
        <v>0</v>
      </c>
      <c r="AE173">
        <v>5508.47</v>
      </c>
      <c r="AF173">
        <v>0</v>
      </c>
      <c r="AG173">
        <v>0</v>
      </c>
      <c r="AH173">
        <v>0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0</v>
      </c>
      <c r="AP173">
        <v>0</v>
      </c>
      <c r="AQ173">
        <v>1</v>
      </c>
      <c r="AR173">
        <v>0</v>
      </c>
      <c r="AT173">
        <v>0.008</v>
      </c>
      <c r="AV173">
        <v>0</v>
      </c>
      <c r="AW173">
        <v>2</v>
      </c>
      <c r="AX173">
        <v>26995518</v>
      </c>
      <c r="AY173">
        <v>2</v>
      </c>
      <c r="AZ173">
        <v>16384</v>
      </c>
      <c r="BA173">
        <v>211</v>
      </c>
      <c r="BB173">
        <v>1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44.06776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1</v>
      </c>
      <c r="BQ173">
        <v>44.06776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1</v>
      </c>
      <c r="CX173">
        <f>Y173*Source!I52</f>
        <v>0.0027919999999999998</v>
      </c>
      <c r="CY173">
        <f>AA173</f>
        <v>5508.47</v>
      </c>
      <c r="CZ173">
        <f>AE173</f>
        <v>5508.47</v>
      </c>
      <c r="DA173">
        <f>AI173</f>
        <v>1</v>
      </c>
      <c r="DB173">
        <v>0</v>
      </c>
    </row>
    <row r="174" spans="1:106" ht="12.75">
      <c r="A174">
        <f>ROW(Source!A52)</f>
        <v>52</v>
      </c>
      <c r="B174">
        <v>26994759</v>
      </c>
      <c r="C174">
        <v>26995510</v>
      </c>
      <c r="D174">
        <v>21333990</v>
      </c>
      <c r="E174">
        <v>1</v>
      </c>
      <c r="F174">
        <v>1</v>
      </c>
      <c r="G174">
        <v>1</v>
      </c>
      <c r="H174">
        <v>3</v>
      </c>
      <c r="I174" t="s">
        <v>562</v>
      </c>
      <c r="J174" t="s">
        <v>563</v>
      </c>
      <c r="K174" t="s">
        <v>564</v>
      </c>
      <c r="L174">
        <v>1348</v>
      </c>
      <c r="N174">
        <v>1009</v>
      </c>
      <c r="O174" t="s">
        <v>203</v>
      </c>
      <c r="P174" t="s">
        <v>203</v>
      </c>
      <c r="Q174">
        <v>1000</v>
      </c>
      <c r="W174">
        <v>0</v>
      </c>
      <c r="X174">
        <v>765189365</v>
      </c>
      <c r="Y174">
        <v>0.029</v>
      </c>
      <c r="AA174">
        <v>76221.72</v>
      </c>
      <c r="AB174">
        <v>0</v>
      </c>
      <c r="AC174">
        <v>0</v>
      </c>
      <c r="AD174">
        <v>0</v>
      </c>
      <c r="AE174">
        <v>76221.72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0</v>
      </c>
      <c r="AP174">
        <v>0</v>
      </c>
      <c r="AQ174">
        <v>1</v>
      </c>
      <c r="AR174">
        <v>0</v>
      </c>
      <c r="AT174">
        <v>0.029</v>
      </c>
      <c r="AV174">
        <v>0</v>
      </c>
      <c r="AW174">
        <v>2</v>
      </c>
      <c r="AX174">
        <v>26995519</v>
      </c>
      <c r="AY174">
        <v>2</v>
      </c>
      <c r="AZ174">
        <v>16384</v>
      </c>
      <c r="BA174">
        <v>212</v>
      </c>
      <c r="BB174">
        <v>1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2210.42988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1</v>
      </c>
      <c r="BQ174">
        <v>2210.42988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1</v>
      </c>
      <c r="CX174">
        <f>Y174*Source!I52</f>
        <v>0.010121</v>
      </c>
      <c r="CY174">
        <f>AA174</f>
        <v>76221.72</v>
      </c>
      <c r="CZ174">
        <f>AE174</f>
        <v>76221.72</v>
      </c>
      <c r="DA174">
        <f>AI174</f>
        <v>1</v>
      </c>
      <c r="DB174">
        <v>0</v>
      </c>
    </row>
    <row r="175" spans="1:106" ht="12.75">
      <c r="A175">
        <f>ROW(Source!A52)</f>
        <v>52</v>
      </c>
      <c r="B175">
        <v>26994759</v>
      </c>
      <c r="C175">
        <v>26995510</v>
      </c>
      <c r="D175">
        <v>21320125</v>
      </c>
      <c r="E175">
        <v>1</v>
      </c>
      <c r="F175">
        <v>1</v>
      </c>
      <c r="G175">
        <v>1</v>
      </c>
      <c r="H175">
        <v>3</v>
      </c>
      <c r="I175" t="s">
        <v>565</v>
      </c>
      <c r="J175" t="s">
        <v>566</v>
      </c>
      <c r="K175" t="s">
        <v>567</v>
      </c>
      <c r="L175">
        <v>1327</v>
      </c>
      <c r="N175">
        <v>1005</v>
      </c>
      <c r="O175" t="s">
        <v>348</v>
      </c>
      <c r="P175" t="s">
        <v>348</v>
      </c>
      <c r="Q175">
        <v>1</v>
      </c>
      <c r="W175">
        <v>0</v>
      </c>
      <c r="X175">
        <v>66337800</v>
      </c>
      <c r="Y175">
        <v>5.5</v>
      </c>
      <c r="AA175">
        <v>322.03</v>
      </c>
      <c r="AB175">
        <v>0</v>
      </c>
      <c r="AC175">
        <v>0</v>
      </c>
      <c r="AD175">
        <v>0</v>
      </c>
      <c r="AE175">
        <v>322.03</v>
      </c>
      <c r="AF175">
        <v>0</v>
      </c>
      <c r="AG175">
        <v>0</v>
      </c>
      <c r="AH175">
        <v>0</v>
      </c>
      <c r="AI175">
        <v>1</v>
      </c>
      <c r="AJ175">
        <v>1</v>
      </c>
      <c r="AK175">
        <v>1</v>
      </c>
      <c r="AL175">
        <v>1</v>
      </c>
      <c r="AN175">
        <v>0</v>
      </c>
      <c r="AO175">
        <v>0</v>
      </c>
      <c r="AP175">
        <v>0</v>
      </c>
      <c r="AQ175">
        <v>1</v>
      </c>
      <c r="AR175">
        <v>0</v>
      </c>
      <c r="AT175">
        <v>5.5</v>
      </c>
      <c r="AV175">
        <v>0</v>
      </c>
      <c r="AW175">
        <v>2</v>
      </c>
      <c r="AX175">
        <v>26995520</v>
      </c>
      <c r="AY175">
        <v>2</v>
      </c>
      <c r="AZ175">
        <v>16384</v>
      </c>
      <c r="BA175">
        <v>213</v>
      </c>
      <c r="BB175">
        <v>1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1771.165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1</v>
      </c>
      <c r="BQ175">
        <v>1771.165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1</v>
      </c>
      <c r="CX175">
        <f>Y175*Source!I52</f>
        <v>1.9194999999999998</v>
      </c>
      <c r="CY175">
        <f>AA175</f>
        <v>322.03</v>
      </c>
      <c r="CZ175">
        <f>AE175</f>
        <v>322.03</v>
      </c>
      <c r="DA175">
        <f>AI175</f>
        <v>1</v>
      </c>
      <c r="DB175">
        <v>0</v>
      </c>
    </row>
    <row r="176" spans="1:106" ht="12.75">
      <c r="A176">
        <f>ROW(Source!A53)</f>
        <v>53</v>
      </c>
      <c r="B176">
        <v>26994759</v>
      </c>
      <c r="C176">
        <v>26995532</v>
      </c>
      <c r="D176">
        <v>9430554</v>
      </c>
      <c r="E176">
        <v>1</v>
      </c>
      <c r="F176">
        <v>1</v>
      </c>
      <c r="G176">
        <v>1</v>
      </c>
      <c r="H176">
        <v>1</v>
      </c>
      <c r="I176" t="s">
        <v>568</v>
      </c>
      <c r="K176" t="s">
        <v>569</v>
      </c>
      <c r="L176">
        <v>1369</v>
      </c>
      <c r="N176">
        <v>1013</v>
      </c>
      <c r="O176" t="s">
        <v>323</v>
      </c>
      <c r="P176" t="s">
        <v>323</v>
      </c>
      <c r="Q176">
        <v>1</v>
      </c>
      <c r="W176">
        <v>0</v>
      </c>
      <c r="X176">
        <v>69794526</v>
      </c>
      <c r="Y176">
        <v>214.32</v>
      </c>
      <c r="AA176">
        <v>0</v>
      </c>
      <c r="AB176">
        <v>0</v>
      </c>
      <c r="AC176">
        <v>0</v>
      </c>
      <c r="AD176">
        <v>106.95</v>
      </c>
      <c r="AE176">
        <v>0</v>
      </c>
      <c r="AF176">
        <v>0</v>
      </c>
      <c r="AG176">
        <v>0</v>
      </c>
      <c r="AH176">
        <v>106.95</v>
      </c>
      <c r="AI176">
        <v>1</v>
      </c>
      <c r="AJ176">
        <v>1</v>
      </c>
      <c r="AK176">
        <v>1</v>
      </c>
      <c r="AL176">
        <v>1</v>
      </c>
      <c r="AN176">
        <v>0</v>
      </c>
      <c r="AO176">
        <v>0</v>
      </c>
      <c r="AP176">
        <v>0</v>
      </c>
      <c r="AQ176">
        <v>1</v>
      </c>
      <c r="AR176">
        <v>0</v>
      </c>
      <c r="AT176">
        <v>214.32</v>
      </c>
      <c r="AV176">
        <v>1</v>
      </c>
      <c r="AW176">
        <v>2</v>
      </c>
      <c r="AX176">
        <v>26995535</v>
      </c>
      <c r="AY176">
        <v>2</v>
      </c>
      <c r="AZ176">
        <v>131072</v>
      </c>
      <c r="BA176">
        <v>214</v>
      </c>
      <c r="BB176">
        <v>1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22921.524</v>
      </c>
      <c r="BN176">
        <v>214.32</v>
      </c>
      <c r="BO176">
        <v>0</v>
      </c>
      <c r="BP176">
        <v>1</v>
      </c>
      <c r="BQ176">
        <v>0</v>
      </c>
      <c r="BR176">
        <v>0</v>
      </c>
      <c r="BS176">
        <v>0</v>
      </c>
      <c r="BT176">
        <v>22921.524</v>
      </c>
      <c r="BU176">
        <v>214.32</v>
      </c>
      <c r="BV176">
        <v>0</v>
      </c>
      <c r="BW176">
        <v>1</v>
      </c>
      <c r="CX176">
        <f>Y176*Source!I53</f>
        <v>56.58048</v>
      </c>
      <c r="CY176">
        <f>AD176</f>
        <v>106.95</v>
      </c>
      <c r="CZ176">
        <f>AH176</f>
        <v>106.95</v>
      </c>
      <c r="DA176">
        <f>AL176</f>
        <v>1</v>
      </c>
      <c r="DB176">
        <v>0</v>
      </c>
    </row>
    <row r="177" spans="1:106" ht="12.75">
      <c r="A177">
        <f>ROW(Source!A53)</f>
        <v>53</v>
      </c>
      <c r="B177">
        <v>26994759</v>
      </c>
      <c r="C177">
        <v>26995532</v>
      </c>
      <c r="D177">
        <v>21518261</v>
      </c>
      <c r="E177">
        <v>1</v>
      </c>
      <c r="F177">
        <v>1</v>
      </c>
      <c r="G177">
        <v>1</v>
      </c>
      <c r="H177">
        <v>3</v>
      </c>
      <c r="I177" t="s">
        <v>464</v>
      </c>
      <c r="J177" t="s">
        <v>465</v>
      </c>
      <c r="K177" t="s">
        <v>466</v>
      </c>
      <c r="L177">
        <v>1348</v>
      </c>
      <c r="N177">
        <v>1009</v>
      </c>
      <c r="O177" t="s">
        <v>203</v>
      </c>
      <c r="P177" t="s">
        <v>203</v>
      </c>
      <c r="Q177">
        <v>1000</v>
      </c>
      <c r="W177">
        <v>0</v>
      </c>
      <c r="X177">
        <v>-2126869214</v>
      </c>
      <c r="Y177">
        <v>100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1</v>
      </c>
      <c r="AJ177">
        <v>1</v>
      </c>
      <c r="AK177">
        <v>1</v>
      </c>
      <c r="AL177">
        <v>1</v>
      </c>
      <c r="AN177">
        <v>0</v>
      </c>
      <c r="AO177">
        <v>0</v>
      </c>
      <c r="AP177">
        <v>0</v>
      </c>
      <c r="AQ177">
        <v>1</v>
      </c>
      <c r="AR177">
        <v>0</v>
      </c>
      <c r="AT177">
        <v>100</v>
      </c>
      <c r="AV177">
        <v>0</v>
      </c>
      <c r="AW177">
        <v>2</v>
      </c>
      <c r="AX177">
        <v>26995536</v>
      </c>
      <c r="AY177">
        <v>1</v>
      </c>
      <c r="AZ177">
        <v>0</v>
      </c>
      <c r="BA177">
        <v>215</v>
      </c>
      <c r="BB177">
        <v>1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Y177*Source!I53</f>
        <v>26.400000000000002</v>
      </c>
      <c r="CY177">
        <f>AA177</f>
        <v>0</v>
      </c>
      <c r="CZ177">
        <f>AE177</f>
        <v>0</v>
      </c>
      <c r="DA177">
        <f>AI177</f>
        <v>1</v>
      </c>
      <c r="DB177">
        <v>0</v>
      </c>
    </row>
    <row r="178" spans="1:106" ht="12.75">
      <c r="A178">
        <f>ROW(Source!A54)</f>
        <v>54</v>
      </c>
      <c r="B178">
        <v>26994759</v>
      </c>
      <c r="C178">
        <v>26995537</v>
      </c>
      <c r="D178">
        <v>121548</v>
      </c>
      <c r="E178">
        <v>1</v>
      </c>
      <c r="F178">
        <v>1</v>
      </c>
      <c r="G178">
        <v>1</v>
      </c>
      <c r="H178">
        <v>1</v>
      </c>
      <c r="I178" t="s">
        <v>26</v>
      </c>
      <c r="K178" t="s">
        <v>358</v>
      </c>
      <c r="L178">
        <v>608254</v>
      </c>
      <c r="N178">
        <v>1013</v>
      </c>
      <c r="O178" t="s">
        <v>359</v>
      </c>
      <c r="P178" t="s">
        <v>359</v>
      </c>
      <c r="Q178">
        <v>1</v>
      </c>
      <c r="W178">
        <v>0</v>
      </c>
      <c r="X178">
        <v>-185737400</v>
      </c>
      <c r="Y178">
        <v>0.024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1</v>
      </c>
      <c r="AJ178">
        <v>1</v>
      </c>
      <c r="AK178">
        <v>1</v>
      </c>
      <c r="AL178">
        <v>1</v>
      </c>
      <c r="AN178">
        <v>0</v>
      </c>
      <c r="AO178">
        <v>0</v>
      </c>
      <c r="AP178">
        <v>1</v>
      </c>
      <c r="AQ178">
        <v>1</v>
      </c>
      <c r="AR178">
        <v>0</v>
      </c>
      <c r="AT178">
        <v>0.024</v>
      </c>
      <c r="AV178">
        <v>2</v>
      </c>
      <c r="AW178">
        <v>2</v>
      </c>
      <c r="AX178">
        <v>26995540</v>
      </c>
      <c r="AY178">
        <v>1</v>
      </c>
      <c r="AZ178">
        <v>0</v>
      </c>
      <c r="BA178">
        <v>216</v>
      </c>
      <c r="BB178">
        <v>1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0.024</v>
      </c>
      <c r="BP178">
        <v>1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0.024</v>
      </c>
      <c r="BW178">
        <v>1</v>
      </c>
      <c r="CX178">
        <f>Y178*Source!I54</f>
        <v>0.6335999999999999</v>
      </c>
      <c r="CY178">
        <f>AD178</f>
        <v>0</v>
      </c>
      <c r="CZ178">
        <f>AH178</f>
        <v>0</v>
      </c>
      <c r="DA178">
        <f>AL178</f>
        <v>1</v>
      </c>
      <c r="DB178">
        <v>0</v>
      </c>
    </row>
    <row r="179" spans="1:106" ht="12.75">
      <c r="A179">
        <f>ROW(Source!A54)</f>
        <v>54</v>
      </c>
      <c r="B179">
        <v>26994759</v>
      </c>
      <c r="C179">
        <v>26995537</v>
      </c>
      <c r="D179">
        <v>1467629</v>
      </c>
      <c r="E179">
        <v>1</v>
      </c>
      <c r="F179">
        <v>1</v>
      </c>
      <c r="G179">
        <v>1</v>
      </c>
      <c r="H179">
        <v>2</v>
      </c>
      <c r="I179" t="s">
        <v>570</v>
      </c>
      <c r="J179" t="s">
        <v>571</v>
      </c>
      <c r="K179" t="s">
        <v>572</v>
      </c>
      <c r="L179">
        <v>1480</v>
      </c>
      <c r="N179">
        <v>1013</v>
      </c>
      <c r="O179" t="s">
        <v>363</v>
      </c>
      <c r="P179" t="s">
        <v>364</v>
      </c>
      <c r="Q179">
        <v>1</v>
      </c>
      <c r="W179">
        <v>0</v>
      </c>
      <c r="X179">
        <v>-2089524230</v>
      </c>
      <c r="Y179">
        <v>0.024</v>
      </c>
      <c r="AA179">
        <v>0</v>
      </c>
      <c r="AB179">
        <v>704.35</v>
      </c>
      <c r="AC179">
        <v>0</v>
      </c>
      <c r="AD179">
        <v>0</v>
      </c>
      <c r="AE179">
        <v>0</v>
      </c>
      <c r="AF179">
        <v>704.35</v>
      </c>
      <c r="AG179">
        <v>0</v>
      </c>
      <c r="AH179">
        <v>0</v>
      </c>
      <c r="AI179">
        <v>1</v>
      </c>
      <c r="AJ179">
        <v>1</v>
      </c>
      <c r="AK179">
        <v>1</v>
      </c>
      <c r="AL179">
        <v>1</v>
      </c>
      <c r="AN179">
        <v>0</v>
      </c>
      <c r="AO179">
        <v>0</v>
      </c>
      <c r="AP179">
        <v>1</v>
      </c>
      <c r="AQ179">
        <v>1</v>
      </c>
      <c r="AR179">
        <v>0</v>
      </c>
      <c r="AT179">
        <v>0.024</v>
      </c>
      <c r="AV179">
        <v>0</v>
      </c>
      <c r="AW179">
        <v>2</v>
      </c>
      <c r="AX179">
        <v>26995541</v>
      </c>
      <c r="AY179">
        <v>2</v>
      </c>
      <c r="AZ179">
        <v>98304</v>
      </c>
      <c r="BA179">
        <v>217</v>
      </c>
      <c r="BB179">
        <v>1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16.904400000000003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0</v>
      </c>
      <c r="BR179">
        <v>16.904400000000003</v>
      </c>
      <c r="BS179">
        <v>0</v>
      </c>
      <c r="BT179">
        <v>0</v>
      </c>
      <c r="BU179">
        <v>0</v>
      </c>
      <c r="BV179">
        <v>0</v>
      </c>
      <c r="BW179">
        <v>1</v>
      </c>
      <c r="CX179">
        <f>Y179*Source!I54</f>
        <v>0.6335999999999999</v>
      </c>
      <c r="CY179">
        <f>AB179</f>
        <v>704.35</v>
      </c>
      <c r="CZ179">
        <f>AF179</f>
        <v>704.35</v>
      </c>
      <c r="DA179">
        <f>AJ179</f>
        <v>1</v>
      </c>
      <c r="DB179">
        <v>0</v>
      </c>
    </row>
    <row r="180" spans="1:106" ht="12.75">
      <c r="A180">
        <f>ROW(Source!A55)</f>
        <v>55</v>
      </c>
      <c r="B180">
        <v>26994759</v>
      </c>
      <c r="C180">
        <v>26995542</v>
      </c>
      <c r="D180">
        <v>0</v>
      </c>
      <c r="E180">
        <v>0</v>
      </c>
      <c r="F180">
        <v>1</v>
      </c>
      <c r="G180">
        <v>1</v>
      </c>
      <c r="H180">
        <v>2</v>
      </c>
      <c r="K180" t="s">
        <v>573</v>
      </c>
      <c r="L180">
        <v>1368</v>
      </c>
      <c r="N180">
        <v>1011</v>
      </c>
      <c r="O180" t="s">
        <v>327</v>
      </c>
      <c r="P180" t="s">
        <v>327</v>
      </c>
      <c r="Q180">
        <v>1</v>
      </c>
      <c r="W180">
        <v>0</v>
      </c>
      <c r="X180">
        <v>1613438681</v>
      </c>
      <c r="Y180">
        <v>1.518</v>
      </c>
      <c r="AA180">
        <v>0</v>
      </c>
      <c r="AB180">
        <v>116.25</v>
      </c>
      <c r="AC180">
        <v>0</v>
      </c>
      <c r="AD180">
        <v>0</v>
      </c>
      <c r="AE180">
        <v>0</v>
      </c>
      <c r="AF180">
        <v>116.25</v>
      </c>
      <c r="AG180">
        <v>0</v>
      </c>
      <c r="AH180">
        <v>0</v>
      </c>
      <c r="AI180">
        <v>1</v>
      </c>
      <c r="AJ180">
        <v>1</v>
      </c>
      <c r="AK180">
        <v>1</v>
      </c>
      <c r="AL180">
        <v>1</v>
      </c>
      <c r="AN180">
        <v>0</v>
      </c>
      <c r="AO180">
        <v>0</v>
      </c>
      <c r="AP180">
        <v>1</v>
      </c>
      <c r="AQ180">
        <v>1</v>
      </c>
      <c r="AR180">
        <v>0</v>
      </c>
      <c r="AT180">
        <v>1.518</v>
      </c>
      <c r="AV180">
        <v>0</v>
      </c>
      <c r="AW180">
        <v>1</v>
      </c>
      <c r="AX180">
        <v>-1</v>
      </c>
      <c r="AY180">
        <v>0</v>
      </c>
      <c r="AZ180">
        <v>0</v>
      </c>
      <c r="BB180">
        <v>1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176.4675</v>
      </c>
      <c r="BL180">
        <v>0</v>
      </c>
      <c r="BM180">
        <v>0</v>
      </c>
      <c r="BN180">
        <v>0</v>
      </c>
      <c r="BO180">
        <v>0</v>
      </c>
      <c r="BP180">
        <v>1</v>
      </c>
      <c r="BQ180">
        <v>0</v>
      </c>
      <c r="BR180">
        <v>176.4675</v>
      </c>
      <c r="BS180">
        <v>0</v>
      </c>
      <c r="BT180">
        <v>0</v>
      </c>
      <c r="BU180">
        <v>0</v>
      </c>
      <c r="BV180">
        <v>0</v>
      </c>
      <c r="BW180">
        <v>1</v>
      </c>
      <c r="CX180">
        <f>Y180*Source!I55</f>
        <v>40.075199999999995</v>
      </c>
      <c r="CY180">
        <f>AB180</f>
        <v>116.25</v>
      </c>
      <c r="CZ180">
        <f>AF180</f>
        <v>116.25</v>
      </c>
      <c r="DA180">
        <f>AJ180</f>
        <v>1</v>
      </c>
      <c r="DB180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21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26995662</v>
      </c>
      <c r="C1">
        <v>26995650</v>
      </c>
      <c r="D1">
        <v>9415735</v>
      </c>
      <c r="E1">
        <v>1</v>
      </c>
      <c r="F1">
        <v>1</v>
      </c>
      <c r="G1">
        <v>1</v>
      </c>
      <c r="H1">
        <v>1</v>
      </c>
      <c r="I1" t="s">
        <v>321</v>
      </c>
      <c r="K1" t="s">
        <v>322</v>
      </c>
      <c r="L1">
        <v>1369</v>
      </c>
      <c r="N1">
        <v>1013</v>
      </c>
      <c r="O1" t="s">
        <v>323</v>
      </c>
      <c r="P1" t="s">
        <v>323</v>
      </c>
      <c r="Q1">
        <v>1</v>
      </c>
      <c r="X1">
        <v>105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18</v>
      </c>
      <c r="AG1">
        <v>120.74999999999999</v>
      </c>
      <c r="AH1">
        <v>2</v>
      </c>
      <c r="AI1">
        <v>26995651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ROW(Source!A24)</f>
        <v>24</v>
      </c>
      <c r="B2">
        <v>26995663</v>
      </c>
      <c r="C2">
        <v>26995650</v>
      </c>
      <c r="D2">
        <v>24313250</v>
      </c>
      <c r="E2">
        <v>1</v>
      </c>
      <c r="F2">
        <v>1</v>
      </c>
      <c r="G2">
        <v>1</v>
      </c>
      <c r="H2">
        <v>2</v>
      </c>
      <c r="I2" t="s">
        <v>324</v>
      </c>
      <c r="J2" t="s">
        <v>325</v>
      </c>
      <c r="K2" t="s">
        <v>326</v>
      </c>
      <c r="L2">
        <v>1368</v>
      </c>
      <c r="N2">
        <v>1011</v>
      </c>
      <c r="O2" t="s">
        <v>327</v>
      </c>
      <c r="P2" t="s">
        <v>327</v>
      </c>
      <c r="Q2">
        <v>1</v>
      </c>
      <c r="X2">
        <v>2.9</v>
      </c>
      <c r="Y2">
        <v>0</v>
      </c>
      <c r="Z2">
        <v>3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17</v>
      </c>
      <c r="AG2">
        <v>3.625</v>
      </c>
      <c r="AH2">
        <v>2</v>
      </c>
      <c r="AI2">
        <v>26995652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ROW(Source!A24)</f>
        <v>24</v>
      </c>
      <c r="B3">
        <v>26995664</v>
      </c>
      <c r="C3">
        <v>26995650</v>
      </c>
      <c r="D3">
        <v>24328332</v>
      </c>
      <c r="E3">
        <v>1</v>
      </c>
      <c r="F3">
        <v>1</v>
      </c>
      <c r="G3">
        <v>1</v>
      </c>
      <c r="H3">
        <v>2</v>
      </c>
      <c r="I3" t="s">
        <v>328</v>
      </c>
      <c r="J3" t="s">
        <v>329</v>
      </c>
      <c r="K3" t="s">
        <v>330</v>
      </c>
      <c r="L3">
        <v>1368</v>
      </c>
      <c r="N3">
        <v>1011</v>
      </c>
      <c r="O3" t="s">
        <v>327</v>
      </c>
      <c r="P3" t="s">
        <v>327</v>
      </c>
      <c r="Q3">
        <v>1</v>
      </c>
      <c r="X3">
        <v>0.25</v>
      </c>
      <c r="Y3">
        <v>0</v>
      </c>
      <c r="Z3">
        <v>33.59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0.3125</v>
      </c>
      <c r="AH3">
        <v>2</v>
      </c>
      <c r="AI3">
        <v>26995653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ROW(Source!A24)</f>
        <v>24</v>
      </c>
      <c r="B4">
        <v>26995665</v>
      </c>
      <c r="C4">
        <v>26995650</v>
      </c>
      <c r="D4">
        <v>24304762</v>
      </c>
      <c r="E4">
        <v>1</v>
      </c>
      <c r="F4">
        <v>1</v>
      </c>
      <c r="G4">
        <v>1</v>
      </c>
      <c r="H4">
        <v>2</v>
      </c>
      <c r="I4" t="s">
        <v>331</v>
      </c>
      <c r="J4" t="s">
        <v>332</v>
      </c>
      <c r="K4" t="s">
        <v>333</v>
      </c>
      <c r="L4">
        <v>1368</v>
      </c>
      <c r="N4">
        <v>1011</v>
      </c>
      <c r="O4" t="s">
        <v>327</v>
      </c>
      <c r="P4" t="s">
        <v>327</v>
      </c>
      <c r="Q4">
        <v>1</v>
      </c>
      <c r="X4">
        <v>1.3</v>
      </c>
      <c r="Y4">
        <v>0</v>
      </c>
      <c r="Z4">
        <v>2.08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1.625</v>
      </c>
      <c r="AH4">
        <v>2</v>
      </c>
      <c r="AI4">
        <v>26995654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ROW(Source!A24)</f>
        <v>24</v>
      </c>
      <c r="B5">
        <v>26995666</v>
      </c>
      <c r="C5">
        <v>26995650</v>
      </c>
      <c r="D5">
        <v>24328324</v>
      </c>
      <c r="E5">
        <v>1</v>
      </c>
      <c r="F5">
        <v>1</v>
      </c>
      <c r="G5">
        <v>1</v>
      </c>
      <c r="H5">
        <v>3</v>
      </c>
      <c r="I5" t="s">
        <v>338</v>
      </c>
      <c r="J5" t="s">
        <v>339</v>
      </c>
      <c r="K5" t="s">
        <v>340</v>
      </c>
      <c r="L5">
        <v>1346</v>
      </c>
      <c r="N5">
        <v>1009</v>
      </c>
      <c r="O5" t="s">
        <v>341</v>
      </c>
      <c r="P5" t="s">
        <v>341</v>
      </c>
      <c r="Q5">
        <v>1</v>
      </c>
      <c r="X5">
        <v>11</v>
      </c>
      <c r="Y5">
        <v>13.08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11</v>
      </c>
      <c r="AH5">
        <v>2</v>
      </c>
      <c r="AI5">
        <v>26995657</v>
      </c>
      <c r="AJ5">
        <v>7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ROW(Source!A24)</f>
        <v>24</v>
      </c>
      <c r="B6">
        <v>26995667</v>
      </c>
      <c r="C6">
        <v>26995650</v>
      </c>
      <c r="D6">
        <v>24329027</v>
      </c>
      <c r="E6">
        <v>1</v>
      </c>
      <c r="F6">
        <v>1</v>
      </c>
      <c r="G6">
        <v>1</v>
      </c>
      <c r="H6">
        <v>3</v>
      </c>
      <c r="I6" t="s">
        <v>342</v>
      </c>
      <c r="J6" t="s">
        <v>343</v>
      </c>
      <c r="K6" t="s">
        <v>574</v>
      </c>
      <c r="L6">
        <v>1346</v>
      </c>
      <c r="N6">
        <v>1009</v>
      </c>
      <c r="O6" t="s">
        <v>341</v>
      </c>
      <c r="P6" t="s">
        <v>341</v>
      </c>
      <c r="Q6">
        <v>1</v>
      </c>
      <c r="X6">
        <v>56</v>
      </c>
      <c r="Y6">
        <v>2.94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56</v>
      </c>
      <c r="AH6">
        <v>2</v>
      </c>
      <c r="AI6">
        <v>26995658</v>
      </c>
      <c r="AJ6">
        <v>8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ROW(Source!A24)</f>
        <v>24</v>
      </c>
      <c r="B7">
        <v>26995668</v>
      </c>
      <c r="C7">
        <v>26995650</v>
      </c>
      <c r="D7">
        <v>24328327</v>
      </c>
      <c r="E7">
        <v>1</v>
      </c>
      <c r="F7">
        <v>1</v>
      </c>
      <c r="G7">
        <v>1</v>
      </c>
      <c r="H7">
        <v>3</v>
      </c>
      <c r="I7" t="s">
        <v>575</v>
      </c>
      <c r="J7" t="s">
        <v>576</v>
      </c>
      <c r="K7" t="s">
        <v>577</v>
      </c>
      <c r="L7">
        <v>1301</v>
      </c>
      <c r="N7">
        <v>1003</v>
      </c>
      <c r="O7" t="s">
        <v>337</v>
      </c>
      <c r="P7" t="s">
        <v>337</v>
      </c>
      <c r="Q7">
        <v>1</v>
      </c>
      <c r="X7">
        <v>123</v>
      </c>
      <c r="Y7">
        <v>0.17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123</v>
      </c>
      <c r="AH7">
        <v>3</v>
      </c>
      <c r="AI7">
        <v>-1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ROW(Source!A24)</f>
        <v>24</v>
      </c>
      <c r="B8">
        <v>26995669</v>
      </c>
      <c r="C8">
        <v>26995650</v>
      </c>
      <c r="D8">
        <v>24328328</v>
      </c>
      <c r="E8">
        <v>1</v>
      </c>
      <c r="F8">
        <v>1</v>
      </c>
      <c r="G8">
        <v>1</v>
      </c>
      <c r="H8">
        <v>3</v>
      </c>
      <c r="I8" t="s">
        <v>578</v>
      </c>
      <c r="J8" t="s">
        <v>579</v>
      </c>
      <c r="K8" t="s">
        <v>580</v>
      </c>
      <c r="L8">
        <v>1301</v>
      </c>
      <c r="N8">
        <v>1003</v>
      </c>
      <c r="O8" t="s">
        <v>337</v>
      </c>
      <c r="P8" t="s">
        <v>337</v>
      </c>
      <c r="Q8">
        <v>1</v>
      </c>
      <c r="X8">
        <v>135</v>
      </c>
      <c r="Y8">
        <v>1.73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135</v>
      </c>
      <c r="AH8">
        <v>3</v>
      </c>
      <c r="AI8">
        <v>-1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26995670</v>
      </c>
      <c r="C9">
        <v>26995650</v>
      </c>
      <c r="D9">
        <v>24755345</v>
      </c>
      <c r="E9">
        <v>1</v>
      </c>
      <c r="F9">
        <v>1</v>
      </c>
      <c r="G9">
        <v>1</v>
      </c>
      <c r="H9">
        <v>3</v>
      </c>
      <c r="I9" t="s">
        <v>581</v>
      </c>
      <c r="J9" t="s">
        <v>582</v>
      </c>
      <c r="K9" t="s">
        <v>583</v>
      </c>
      <c r="L9">
        <v>1301</v>
      </c>
      <c r="N9">
        <v>1003</v>
      </c>
      <c r="O9" t="s">
        <v>337</v>
      </c>
      <c r="P9" t="s">
        <v>337</v>
      </c>
      <c r="Q9">
        <v>1</v>
      </c>
      <c r="X9">
        <v>135</v>
      </c>
      <c r="Y9">
        <v>0.37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135</v>
      </c>
      <c r="AH9">
        <v>3</v>
      </c>
      <c r="AI9">
        <v>-1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26995671</v>
      </c>
      <c r="C10">
        <v>26995650</v>
      </c>
      <c r="D10">
        <v>24329552</v>
      </c>
      <c r="E10">
        <v>1</v>
      </c>
      <c r="F10">
        <v>1</v>
      </c>
      <c r="G10">
        <v>1</v>
      </c>
      <c r="H10">
        <v>3</v>
      </c>
      <c r="I10" t="s">
        <v>345</v>
      </c>
      <c r="J10" t="s">
        <v>346</v>
      </c>
      <c r="K10" t="s">
        <v>584</v>
      </c>
      <c r="L10">
        <v>1327</v>
      </c>
      <c r="N10">
        <v>1005</v>
      </c>
      <c r="O10" t="s">
        <v>348</v>
      </c>
      <c r="P10" t="s">
        <v>348</v>
      </c>
      <c r="Q10">
        <v>1</v>
      </c>
      <c r="X10">
        <v>111</v>
      </c>
      <c r="Y10">
        <v>25.14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G10">
        <v>111</v>
      </c>
      <c r="AH10">
        <v>2</v>
      </c>
      <c r="AI10">
        <v>26995659</v>
      </c>
      <c r="AJ10">
        <v>9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ROW(Source!A24)</f>
        <v>24</v>
      </c>
      <c r="B11">
        <v>26995672</v>
      </c>
      <c r="C11">
        <v>26995650</v>
      </c>
      <c r="D11">
        <v>24328395</v>
      </c>
      <c r="E11">
        <v>1</v>
      </c>
      <c r="F11">
        <v>1</v>
      </c>
      <c r="G11">
        <v>1</v>
      </c>
      <c r="H11">
        <v>3</v>
      </c>
      <c r="I11" t="s">
        <v>349</v>
      </c>
      <c r="J11" t="s">
        <v>350</v>
      </c>
      <c r="K11" t="s">
        <v>585</v>
      </c>
      <c r="L11">
        <v>1354</v>
      </c>
      <c r="N11">
        <v>1010</v>
      </c>
      <c r="O11" t="s">
        <v>352</v>
      </c>
      <c r="P11" t="s">
        <v>352</v>
      </c>
      <c r="Q11">
        <v>1</v>
      </c>
      <c r="X11">
        <v>368</v>
      </c>
      <c r="Y11">
        <v>0.02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G11">
        <v>368</v>
      </c>
      <c r="AH11">
        <v>2</v>
      </c>
      <c r="AI11">
        <v>26995660</v>
      </c>
      <c r="AJ11">
        <v>10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ROW(Source!A24)</f>
        <v>24</v>
      </c>
      <c r="B12">
        <v>26995673</v>
      </c>
      <c r="C12">
        <v>26995650</v>
      </c>
      <c r="D12">
        <v>24329030</v>
      </c>
      <c r="E12">
        <v>1</v>
      </c>
      <c r="F12">
        <v>1</v>
      </c>
      <c r="G12">
        <v>1</v>
      </c>
      <c r="H12">
        <v>3</v>
      </c>
      <c r="I12" t="s">
        <v>586</v>
      </c>
      <c r="J12" t="s">
        <v>587</v>
      </c>
      <c r="K12" t="s">
        <v>588</v>
      </c>
      <c r="L12">
        <v>1354</v>
      </c>
      <c r="N12">
        <v>1010</v>
      </c>
      <c r="O12" t="s">
        <v>352</v>
      </c>
      <c r="P12" t="s">
        <v>352</v>
      </c>
      <c r="Q12">
        <v>1</v>
      </c>
      <c r="X12">
        <v>3132</v>
      </c>
      <c r="Y12">
        <v>0.04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G12">
        <v>3132</v>
      </c>
      <c r="AH12">
        <v>3</v>
      </c>
      <c r="AI12">
        <v>-1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ROW(Source!A24)</f>
        <v>24</v>
      </c>
      <c r="B13">
        <v>26995674</v>
      </c>
      <c r="C13">
        <v>26995650</v>
      </c>
      <c r="D13">
        <v>24328349</v>
      </c>
      <c r="E13">
        <v>1</v>
      </c>
      <c r="F13">
        <v>1</v>
      </c>
      <c r="G13">
        <v>1</v>
      </c>
      <c r="H13">
        <v>3</v>
      </c>
      <c r="I13" t="s">
        <v>353</v>
      </c>
      <c r="J13" t="s">
        <v>354</v>
      </c>
      <c r="K13" t="s">
        <v>589</v>
      </c>
      <c r="L13">
        <v>1354</v>
      </c>
      <c r="N13">
        <v>1010</v>
      </c>
      <c r="O13" t="s">
        <v>352</v>
      </c>
      <c r="P13" t="s">
        <v>352</v>
      </c>
      <c r="Q13">
        <v>1</v>
      </c>
      <c r="X13">
        <v>67</v>
      </c>
      <c r="Y13">
        <v>0.7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G13">
        <v>67</v>
      </c>
      <c r="AH13">
        <v>2</v>
      </c>
      <c r="AI13">
        <v>26995661</v>
      </c>
      <c r="AJ13">
        <v>11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ROW(Source!A24)</f>
        <v>24</v>
      </c>
      <c r="B14">
        <v>26995675</v>
      </c>
      <c r="C14">
        <v>26995650</v>
      </c>
      <c r="D14">
        <v>24328329</v>
      </c>
      <c r="E14">
        <v>1</v>
      </c>
      <c r="F14">
        <v>1</v>
      </c>
      <c r="G14">
        <v>1</v>
      </c>
      <c r="H14">
        <v>3</v>
      </c>
      <c r="I14" t="s">
        <v>590</v>
      </c>
      <c r="J14" t="s">
        <v>591</v>
      </c>
      <c r="K14" t="s">
        <v>592</v>
      </c>
      <c r="L14">
        <v>1354</v>
      </c>
      <c r="N14">
        <v>1010</v>
      </c>
      <c r="O14" t="s">
        <v>352</v>
      </c>
      <c r="P14" t="s">
        <v>352</v>
      </c>
      <c r="Q14">
        <v>1</v>
      </c>
      <c r="X14">
        <v>322</v>
      </c>
      <c r="Y14">
        <v>0.08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322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ROW(Source!A24)</f>
        <v>24</v>
      </c>
      <c r="B15">
        <v>26995676</v>
      </c>
      <c r="C15">
        <v>26995650</v>
      </c>
      <c r="D15">
        <v>24328396</v>
      </c>
      <c r="E15">
        <v>1</v>
      </c>
      <c r="F15">
        <v>1</v>
      </c>
      <c r="G15">
        <v>1</v>
      </c>
      <c r="H15">
        <v>3</v>
      </c>
      <c r="I15" t="s">
        <v>593</v>
      </c>
      <c r="J15" t="s">
        <v>594</v>
      </c>
      <c r="K15" t="s">
        <v>595</v>
      </c>
      <c r="L15">
        <v>1301</v>
      </c>
      <c r="N15">
        <v>1003</v>
      </c>
      <c r="O15" t="s">
        <v>337</v>
      </c>
      <c r="P15" t="s">
        <v>337</v>
      </c>
      <c r="Q15">
        <v>1</v>
      </c>
      <c r="X15">
        <v>136</v>
      </c>
      <c r="Y15">
        <v>4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G15">
        <v>136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ROW(Source!A24)</f>
        <v>24</v>
      </c>
      <c r="B16">
        <v>26995677</v>
      </c>
      <c r="C16">
        <v>26995650</v>
      </c>
      <c r="D16">
        <v>24328826</v>
      </c>
      <c r="E16">
        <v>1</v>
      </c>
      <c r="F16">
        <v>1</v>
      </c>
      <c r="G16">
        <v>1</v>
      </c>
      <c r="H16">
        <v>3</v>
      </c>
      <c r="I16" t="s">
        <v>596</v>
      </c>
      <c r="J16" t="s">
        <v>597</v>
      </c>
      <c r="K16" t="s">
        <v>598</v>
      </c>
      <c r="L16">
        <v>1301</v>
      </c>
      <c r="N16">
        <v>1003</v>
      </c>
      <c r="O16" t="s">
        <v>337</v>
      </c>
      <c r="P16" t="s">
        <v>337</v>
      </c>
      <c r="Q16">
        <v>1</v>
      </c>
      <c r="X16">
        <v>285</v>
      </c>
      <c r="Y16">
        <v>5.5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G16">
        <v>285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ROW(Source!A24)</f>
        <v>24</v>
      </c>
      <c r="B17">
        <v>26995678</v>
      </c>
      <c r="C17">
        <v>26995650</v>
      </c>
      <c r="D17">
        <v>24328984</v>
      </c>
      <c r="E17">
        <v>1</v>
      </c>
      <c r="F17">
        <v>1</v>
      </c>
      <c r="G17">
        <v>1</v>
      </c>
      <c r="H17">
        <v>3</v>
      </c>
      <c r="I17" t="s">
        <v>599</v>
      </c>
      <c r="J17" t="s">
        <v>600</v>
      </c>
      <c r="K17" t="s">
        <v>601</v>
      </c>
      <c r="L17">
        <v>1354</v>
      </c>
      <c r="N17">
        <v>1010</v>
      </c>
      <c r="O17" t="s">
        <v>352</v>
      </c>
      <c r="P17" t="s">
        <v>352</v>
      </c>
      <c r="Q17">
        <v>1</v>
      </c>
      <c r="X17">
        <v>67</v>
      </c>
      <c r="Y17">
        <v>1.25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G17">
        <v>67</v>
      </c>
      <c r="AH17">
        <v>3</v>
      </c>
      <c r="AI17">
        <v>-1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ROW(Source!A24)</f>
        <v>24</v>
      </c>
      <c r="B18">
        <v>26995679</v>
      </c>
      <c r="C18">
        <v>26995650</v>
      </c>
      <c r="D18">
        <v>24328829</v>
      </c>
      <c r="E18">
        <v>1</v>
      </c>
      <c r="F18">
        <v>1</v>
      </c>
      <c r="G18">
        <v>1</v>
      </c>
      <c r="H18">
        <v>3</v>
      </c>
      <c r="I18" t="s">
        <v>602</v>
      </c>
      <c r="J18" t="s">
        <v>603</v>
      </c>
      <c r="K18" t="s">
        <v>604</v>
      </c>
      <c r="L18">
        <v>1354</v>
      </c>
      <c r="N18">
        <v>1010</v>
      </c>
      <c r="O18" t="s">
        <v>352</v>
      </c>
      <c r="P18" t="s">
        <v>352</v>
      </c>
      <c r="Q18">
        <v>1</v>
      </c>
      <c r="X18">
        <v>159</v>
      </c>
      <c r="Y18">
        <v>1.6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G18">
        <v>159</v>
      </c>
      <c r="AH18">
        <v>3</v>
      </c>
      <c r="AI18">
        <v>-1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ROW(Source!A24)</f>
        <v>24</v>
      </c>
      <c r="B19">
        <v>26995680</v>
      </c>
      <c r="C19">
        <v>26995650</v>
      </c>
      <c r="D19">
        <v>24328987</v>
      </c>
      <c r="E19">
        <v>1</v>
      </c>
      <c r="F19">
        <v>1</v>
      </c>
      <c r="G19">
        <v>1</v>
      </c>
      <c r="H19">
        <v>3</v>
      </c>
      <c r="I19" t="s">
        <v>605</v>
      </c>
      <c r="J19" t="s">
        <v>606</v>
      </c>
      <c r="K19" t="s">
        <v>607</v>
      </c>
      <c r="L19">
        <v>1354</v>
      </c>
      <c r="N19">
        <v>1010</v>
      </c>
      <c r="O19" t="s">
        <v>352</v>
      </c>
      <c r="P19" t="s">
        <v>352</v>
      </c>
      <c r="Q19">
        <v>1</v>
      </c>
      <c r="X19">
        <v>54</v>
      </c>
      <c r="Y19">
        <v>0.59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G19">
        <v>54</v>
      </c>
      <c r="AH19">
        <v>3</v>
      </c>
      <c r="AI19">
        <v>-1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ROW(Source!A24)</f>
        <v>24</v>
      </c>
      <c r="B20">
        <v>26995681</v>
      </c>
      <c r="C20">
        <v>26995650</v>
      </c>
      <c r="D20">
        <v>24328985</v>
      </c>
      <c r="E20">
        <v>1</v>
      </c>
      <c r="F20">
        <v>1</v>
      </c>
      <c r="G20">
        <v>1</v>
      </c>
      <c r="H20">
        <v>3</v>
      </c>
      <c r="I20" t="s">
        <v>608</v>
      </c>
      <c r="J20" t="s">
        <v>609</v>
      </c>
      <c r="K20" t="s">
        <v>610</v>
      </c>
      <c r="L20">
        <v>1354</v>
      </c>
      <c r="N20">
        <v>1010</v>
      </c>
      <c r="O20" t="s">
        <v>352</v>
      </c>
      <c r="P20" t="s">
        <v>352</v>
      </c>
      <c r="Q20">
        <v>1</v>
      </c>
      <c r="X20">
        <v>67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67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ROW(Source!A25)</f>
        <v>25</v>
      </c>
      <c r="B21">
        <v>26995688</v>
      </c>
      <c r="C21">
        <v>26995682</v>
      </c>
      <c r="D21">
        <v>121618</v>
      </c>
      <c r="E21">
        <v>1</v>
      </c>
      <c r="F21">
        <v>1</v>
      </c>
      <c r="G21">
        <v>1</v>
      </c>
      <c r="H21">
        <v>1</v>
      </c>
      <c r="I21" t="s">
        <v>356</v>
      </c>
      <c r="K21" t="s">
        <v>357</v>
      </c>
      <c r="L21">
        <v>1369</v>
      </c>
      <c r="N21">
        <v>1013</v>
      </c>
      <c r="O21" t="s">
        <v>323</v>
      </c>
      <c r="P21" t="s">
        <v>323</v>
      </c>
      <c r="Q21">
        <v>1</v>
      </c>
      <c r="X21">
        <v>67.1</v>
      </c>
      <c r="Y21">
        <v>0</v>
      </c>
      <c r="Z21">
        <v>0</v>
      </c>
      <c r="AA21">
        <v>0</v>
      </c>
      <c r="AB21">
        <v>8.62</v>
      </c>
      <c r="AC21">
        <v>0</v>
      </c>
      <c r="AD21">
        <v>1</v>
      </c>
      <c r="AE21">
        <v>1</v>
      </c>
      <c r="AF21" t="s">
        <v>18</v>
      </c>
      <c r="AG21">
        <v>77.16499999999999</v>
      </c>
      <c r="AH21">
        <v>2</v>
      </c>
      <c r="AI21">
        <v>26995683</v>
      </c>
      <c r="AJ21">
        <v>12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ROW(Source!A25)</f>
        <v>25</v>
      </c>
      <c r="B22">
        <v>26995689</v>
      </c>
      <c r="C22">
        <v>26995682</v>
      </c>
      <c r="D22">
        <v>121548</v>
      </c>
      <c r="E22">
        <v>1</v>
      </c>
      <c r="F22">
        <v>1</v>
      </c>
      <c r="G22">
        <v>1</v>
      </c>
      <c r="H22">
        <v>1</v>
      </c>
      <c r="I22" t="s">
        <v>26</v>
      </c>
      <c r="K22" t="s">
        <v>358</v>
      </c>
      <c r="L22">
        <v>608254</v>
      </c>
      <c r="N22">
        <v>1013</v>
      </c>
      <c r="O22" t="s">
        <v>359</v>
      </c>
      <c r="P22" t="s">
        <v>359</v>
      </c>
      <c r="Q22">
        <v>1</v>
      </c>
      <c r="X22">
        <v>0.54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2</v>
      </c>
      <c r="AF22" t="s">
        <v>17</v>
      </c>
      <c r="AG22">
        <v>0.675</v>
      </c>
      <c r="AH22">
        <v>2</v>
      </c>
      <c r="AI22">
        <v>26995684</v>
      </c>
      <c r="AJ22">
        <v>13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ROW(Source!A25)</f>
        <v>25</v>
      </c>
      <c r="B23">
        <v>26995690</v>
      </c>
      <c r="C23">
        <v>26995682</v>
      </c>
      <c r="D23">
        <v>1471210</v>
      </c>
      <c r="E23">
        <v>1</v>
      </c>
      <c r="F23">
        <v>1</v>
      </c>
      <c r="G23">
        <v>1</v>
      </c>
      <c r="H23">
        <v>2</v>
      </c>
      <c r="I23" t="s">
        <v>360</v>
      </c>
      <c r="J23" t="s">
        <v>361</v>
      </c>
      <c r="K23" t="s">
        <v>362</v>
      </c>
      <c r="L23">
        <v>1480</v>
      </c>
      <c r="N23">
        <v>1013</v>
      </c>
      <c r="O23" t="s">
        <v>363</v>
      </c>
      <c r="P23" t="s">
        <v>364</v>
      </c>
      <c r="Q23">
        <v>1</v>
      </c>
      <c r="X23">
        <v>0.67</v>
      </c>
      <c r="Y23">
        <v>0</v>
      </c>
      <c r="Z23">
        <v>0.95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17</v>
      </c>
      <c r="AG23">
        <v>0.8375</v>
      </c>
      <c r="AH23">
        <v>2</v>
      </c>
      <c r="AI23">
        <v>26995685</v>
      </c>
      <c r="AJ23">
        <v>14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ROW(Source!A25)</f>
        <v>25</v>
      </c>
      <c r="B24">
        <v>26995691</v>
      </c>
      <c r="C24">
        <v>26995682</v>
      </c>
      <c r="D24">
        <v>1471980</v>
      </c>
      <c r="E24">
        <v>1</v>
      </c>
      <c r="F24">
        <v>1</v>
      </c>
      <c r="G24">
        <v>1</v>
      </c>
      <c r="H24">
        <v>2</v>
      </c>
      <c r="I24" t="s">
        <v>371</v>
      </c>
      <c r="J24" t="s">
        <v>611</v>
      </c>
      <c r="K24" t="s">
        <v>373</v>
      </c>
      <c r="L24">
        <v>1480</v>
      </c>
      <c r="N24">
        <v>1013</v>
      </c>
      <c r="O24" t="s">
        <v>363</v>
      </c>
      <c r="P24" t="s">
        <v>364</v>
      </c>
      <c r="Q24">
        <v>1</v>
      </c>
      <c r="X24">
        <v>0.54</v>
      </c>
      <c r="Y24">
        <v>0</v>
      </c>
      <c r="Z24">
        <v>87.17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17</v>
      </c>
      <c r="AG24">
        <v>0.675</v>
      </c>
      <c r="AH24">
        <v>3</v>
      </c>
      <c r="AI24">
        <v>-1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ROW(Source!A25)</f>
        <v>25</v>
      </c>
      <c r="B25">
        <v>26995692</v>
      </c>
      <c r="C25">
        <v>26995682</v>
      </c>
      <c r="D25">
        <v>1401518</v>
      </c>
      <c r="E25">
        <v>1</v>
      </c>
      <c r="F25">
        <v>1</v>
      </c>
      <c r="G25">
        <v>1</v>
      </c>
      <c r="H25">
        <v>3</v>
      </c>
      <c r="I25" t="s">
        <v>612</v>
      </c>
      <c r="J25" t="s">
        <v>613</v>
      </c>
      <c r="K25" t="s">
        <v>614</v>
      </c>
      <c r="L25">
        <v>1329</v>
      </c>
      <c r="N25">
        <v>1005</v>
      </c>
      <c r="O25" t="s">
        <v>615</v>
      </c>
      <c r="P25" t="s">
        <v>615</v>
      </c>
      <c r="Q25">
        <v>1000</v>
      </c>
      <c r="X25">
        <v>0.105</v>
      </c>
      <c r="Y25">
        <v>12000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0.105</v>
      </c>
      <c r="AH25">
        <v>3</v>
      </c>
      <c r="AI25">
        <v>-1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ROW(Source!A25)</f>
        <v>25</v>
      </c>
      <c r="B26">
        <v>26995693</v>
      </c>
      <c r="C26">
        <v>26995682</v>
      </c>
      <c r="D26">
        <v>1404156</v>
      </c>
      <c r="E26">
        <v>1</v>
      </c>
      <c r="F26">
        <v>1</v>
      </c>
      <c r="G26">
        <v>1</v>
      </c>
      <c r="H26">
        <v>3</v>
      </c>
      <c r="I26" t="s">
        <v>616</v>
      </c>
      <c r="J26" t="s">
        <v>617</v>
      </c>
      <c r="K26" t="s">
        <v>618</v>
      </c>
      <c r="L26">
        <v>1348</v>
      </c>
      <c r="N26">
        <v>1009</v>
      </c>
      <c r="O26" t="s">
        <v>203</v>
      </c>
      <c r="P26" t="s">
        <v>203</v>
      </c>
      <c r="Q26">
        <v>1000</v>
      </c>
      <c r="X26">
        <v>0.006</v>
      </c>
      <c r="Y26">
        <v>11978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G26">
        <v>0.006</v>
      </c>
      <c r="AH26">
        <v>3</v>
      </c>
      <c r="AI26">
        <v>-1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ROW(Source!A26)</f>
        <v>26</v>
      </c>
      <c r="B27">
        <v>26995699</v>
      </c>
      <c r="C27">
        <v>26995694</v>
      </c>
      <c r="D27">
        <v>9416210</v>
      </c>
      <c r="E27">
        <v>1</v>
      </c>
      <c r="F27">
        <v>1</v>
      </c>
      <c r="G27">
        <v>1</v>
      </c>
      <c r="H27">
        <v>1</v>
      </c>
      <c r="I27" t="s">
        <v>366</v>
      </c>
      <c r="K27" t="s">
        <v>367</v>
      </c>
      <c r="L27">
        <v>1369</v>
      </c>
      <c r="N27">
        <v>1013</v>
      </c>
      <c r="O27" t="s">
        <v>323</v>
      </c>
      <c r="P27" t="s">
        <v>323</v>
      </c>
      <c r="Q27">
        <v>1</v>
      </c>
      <c r="X27">
        <v>10.58</v>
      </c>
      <c r="Y27">
        <v>0</v>
      </c>
      <c r="Z27">
        <v>0</v>
      </c>
      <c r="AA27">
        <v>0</v>
      </c>
      <c r="AB27">
        <v>9.29</v>
      </c>
      <c r="AC27">
        <v>0</v>
      </c>
      <c r="AD27">
        <v>1</v>
      </c>
      <c r="AE27">
        <v>1</v>
      </c>
      <c r="AF27" t="s">
        <v>18</v>
      </c>
      <c r="AG27">
        <v>12.167</v>
      </c>
      <c r="AH27">
        <v>2</v>
      </c>
      <c r="AI27">
        <v>26995695</v>
      </c>
      <c r="AJ27">
        <v>17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ROW(Source!A26)</f>
        <v>26</v>
      </c>
      <c r="B28">
        <v>26995700</v>
      </c>
      <c r="C28">
        <v>26995694</v>
      </c>
      <c r="D28">
        <v>24322593</v>
      </c>
      <c r="E28">
        <v>1</v>
      </c>
      <c r="F28">
        <v>1</v>
      </c>
      <c r="G28">
        <v>1</v>
      </c>
      <c r="H28">
        <v>2</v>
      </c>
      <c r="I28" t="s">
        <v>368</v>
      </c>
      <c r="J28" t="s">
        <v>369</v>
      </c>
      <c r="K28" t="s">
        <v>370</v>
      </c>
      <c r="L28">
        <v>1368</v>
      </c>
      <c r="N28">
        <v>1011</v>
      </c>
      <c r="O28" t="s">
        <v>327</v>
      </c>
      <c r="P28" t="s">
        <v>327</v>
      </c>
      <c r="Q28">
        <v>1</v>
      </c>
      <c r="X28">
        <v>0.75</v>
      </c>
      <c r="Y28">
        <v>0</v>
      </c>
      <c r="Z28">
        <v>6.66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17</v>
      </c>
      <c r="AG28">
        <v>0.9375</v>
      </c>
      <c r="AH28">
        <v>2</v>
      </c>
      <c r="AI28">
        <v>26995696</v>
      </c>
      <c r="AJ28">
        <v>18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ROW(Source!A26)</f>
        <v>26</v>
      </c>
      <c r="B29">
        <v>26995701</v>
      </c>
      <c r="C29">
        <v>26995694</v>
      </c>
      <c r="D29">
        <v>24262102</v>
      </c>
      <c r="E29">
        <v>1</v>
      </c>
      <c r="F29">
        <v>1</v>
      </c>
      <c r="G29">
        <v>1</v>
      </c>
      <c r="H29">
        <v>2</v>
      </c>
      <c r="I29" t="s">
        <v>371</v>
      </c>
      <c r="J29" t="s">
        <v>372</v>
      </c>
      <c r="K29" t="s">
        <v>373</v>
      </c>
      <c r="L29">
        <v>1368</v>
      </c>
      <c r="N29">
        <v>1011</v>
      </c>
      <c r="O29" t="s">
        <v>327</v>
      </c>
      <c r="P29" t="s">
        <v>327</v>
      </c>
      <c r="Q29">
        <v>1</v>
      </c>
      <c r="X29">
        <v>0.6</v>
      </c>
      <c r="Y29">
        <v>0</v>
      </c>
      <c r="Z29">
        <v>87.17</v>
      </c>
      <c r="AA29">
        <v>11.6</v>
      </c>
      <c r="AB29">
        <v>0</v>
      </c>
      <c r="AC29">
        <v>0</v>
      </c>
      <c r="AD29">
        <v>1</v>
      </c>
      <c r="AE29">
        <v>0</v>
      </c>
      <c r="AF29" t="s">
        <v>17</v>
      </c>
      <c r="AG29">
        <v>0.75</v>
      </c>
      <c r="AH29">
        <v>2</v>
      </c>
      <c r="AI29">
        <v>26995697</v>
      </c>
      <c r="AJ29">
        <v>19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ROW(Source!A26)</f>
        <v>26</v>
      </c>
      <c r="B30">
        <v>26995702</v>
      </c>
      <c r="C30">
        <v>26995694</v>
      </c>
      <c r="D30">
        <v>24393110</v>
      </c>
      <c r="E30">
        <v>1</v>
      </c>
      <c r="F30">
        <v>1</v>
      </c>
      <c r="G30">
        <v>1</v>
      </c>
      <c r="H30">
        <v>3</v>
      </c>
      <c r="I30" t="s">
        <v>374</v>
      </c>
      <c r="J30" t="s">
        <v>375</v>
      </c>
      <c r="K30" t="s">
        <v>376</v>
      </c>
      <c r="L30">
        <v>1339</v>
      </c>
      <c r="N30">
        <v>1007</v>
      </c>
      <c r="O30" t="s">
        <v>377</v>
      </c>
      <c r="P30" t="s">
        <v>377</v>
      </c>
      <c r="Q30">
        <v>1</v>
      </c>
      <c r="X30">
        <v>1.02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G30">
        <v>1.02</v>
      </c>
      <c r="AH30">
        <v>2</v>
      </c>
      <c r="AI30">
        <v>26995698</v>
      </c>
      <c r="AJ30">
        <v>20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ROW(Source!A27)</f>
        <v>27</v>
      </c>
      <c r="B31">
        <v>26995707</v>
      </c>
      <c r="C31">
        <v>26995703</v>
      </c>
      <c r="D31">
        <v>9415666</v>
      </c>
      <c r="E31">
        <v>1</v>
      </c>
      <c r="F31">
        <v>1</v>
      </c>
      <c r="G31">
        <v>1</v>
      </c>
      <c r="H31">
        <v>1</v>
      </c>
      <c r="I31" t="s">
        <v>378</v>
      </c>
      <c r="K31" t="s">
        <v>379</v>
      </c>
      <c r="L31">
        <v>1369</v>
      </c>
      <c r="N31">
        <v>1013</v>
      </c>
      <c r="O31" t="s">
        <v>323</v>
      </c>
      <c r="P31" t="s">
        <v>323</v>
      </c>
      <c r="Q31">
        <v>1</v>
      </c>
      <c r="X31">
        <v>14.36</v>
      </c>
      <c r="Y31">
        <v>0</v>
      </c>
      <c r="Z31">
        <v>0</v>
      </c>
      <c r="AA31">
        <v>0</v>
      </c>
      <c r="AB31">
        <v>8.74</v>
      </c>
      <c r="AC31">
        <v>0</v>
      </c>
      <c r="AD31">
        <v>1</v>
      </c>
      <c r="AE31">
        <v>1</v>
      </c>
      <c r="AF31" t="s">
        <v>48</v>
      </c>
      <c r="AG31">
        <v>33.028</v>
      </c>
      <c r="AH31">
        <v>2</v>
      </c>
      <c r="AI31">
        <v>26995704</v>
      </c>
      <c r="AJ31">
        <v>21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ht="12.75">
      <c r="A32">
        <f>ROW(Source!A27)</f>
        <v>27</v>
      </c>
      <c r="B32">
        <v>26995708</v>
      </c>
      <c r="C32">
        <v>26995703</v>
      </c>
      <c r="D32">
        <v>24262102</v>
      </c>
      <c r="E32">
        <v>1</v>
      </c>
      <c r="F32">
        <v>1</v>
      </c>
      <c r="G32">
        <v>1</v>
      </c>
      <c r="H32">
        <v>2</v>
      </c>
      <c r="I32" t="s">
        <v>371</v>
      </c>
      <c r="J32" t="s">
        <v>372</v>
      </c>
      <c r="K32" t="s">
        <v>373</v>
      </c>
      <c r="L32">
        <v>1368</v>
      </c>
      <c r="N32">
        <v>1011</v>
      </c>
      <c r="O32" t="s">
        <v>327</v>
      </c>
      <c r="P32" t="s">
        <v>327</v>
      </c>
      <c r="Q32">
        <v>1</v>
      </c>
      <c r="X32">
        <v>0.25</v>
      </c>
      <c r="Y32">
        <v>0</v>
      </c>
      <c r="Z32">
        <v>87.17</v>
      </c>
      <c r="AA32">
        <v>11.6</v>
      </c>
      <c r="AB32">
        <v>0</v>
      </c>
      <c r="AC32">
        <v>0</v>
      </c>
      <c r="AD32">
        <v>1</v>
      </c>
      <c r="AE32">
        <v>0</v>
      </c>
      <c r="AF32" t="s">
        <v>47</v>
      </c>
      <c r="AG32">
        <v>0.625</v>
      </c>
      <c r="AH32">
        <v>3</v>
      </c>
      <c r="AI32">
        <v>-1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ht="12.75">
      <c r="A33">
        <f>ROW(Source!A27)</f>
        <v>27</v>
      </c>
      <c r="B33">
        <v>26995709</v>
      </c>
      <c r="C33">
        <v>26995703</v>
      </c>
      <c r="D33">
        <v>24298549</v>
      </c>
      <c r="E33">
        <v>1</v>
      </c>
      <c r="F33">
        <v>1</v>
      </c>
      <c r="G33">
        <v>1</v>
      </c>
      <c r="H33">
        <v>3</v>
      </c>
      <c r="I33" t="s">
        <v>380</v>
      </c>
      <c r="J33" t="s">
        <v>381</v>
      </c>
      <c r="K33" t="s">
        <v>382</v>
      </c>
      <c r="L33">
        <v>1346</v>
      </c>
      <c r="N33">
        <v>1009</v>
      </c>
      <c r="O33" t="s">
        <v>341</v>
      </c>
      <c r="P33" t="s">
        <v>341</v>
      </c>
      <c r="Q33">
        <v>1</v>
      </c>
      <c r="X33">
        <v>7.423</v>
      </c>
      <c r="Y33">
        <v>112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46</v>
      </c>
      <c r="AG33">
        <v>14.846</v>
      </c>
      <c r="AH33">
        <v>2</v>
      </c>
      <c r="AI33">
        <v>26995705</v>
      </c>
      <c r="AJ33">
        <v>22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ht="12.75">
      <c r="A34">
        <f>ROW(Source!A27)</f>
        <v>27</v>
      </c>
      <c r="B34">
        <v>26995710</v>
      </c>
      <c r="C34">
        <v>26995703</v>
      </c>
      <c r="D34">
        <v>24304985</v>
      </c>
      <c r="E34">
        <v>1</v>
      </c>
      <c r="F34">
        <v>1</v>
      </c>
      <c r="G34">
        <v>1</v>
      </c>
      <c r="H34">
        <v>3</v>
      </c>
      <c r="I34" t="s">
        <v>384</v>
      </c>
      <c r="J34" t="s">
        <v>385</v>
      </c>
      <c r="K34" t="s">
        <v>619</v>
      </c>
      <c r="L34">
        <v>1327</v>
      </c>
      <c r="N34">
        <v>1005</v>
      </c>
      <c r="O34" t="s">
        <v>348</v>
      </c>
      <c r="P34" t="s">
        <v>348</v>
      </c>
      <c r="Q34">
        <v>1</v>
      </c>
      <c r="X34">
        <v>115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46</v>
      </c>
      <c r="AG34">
        <v>230</v>
      </c>
      <c r="AH34">
        <v>2</v>
      </c>
      <c r="AI34">
        <v>26995706</v>
      </c>
      <c r="AJ34">
        <v>23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ht="12.75">
      <c r="A35">
        <f>ROW(Source!A28)</f>
        <v>28</v>
      </c>
      <c r="B35">
        <v>26995717</v>
      </c>
      <c r="C35">
        <v>26995711</v>
      </c>
      <c r="D35">
        <v>9415352</v>
      </c>
      <c r="E35">
        <v>1</v>
      </c>
      <c r="F35">
        <v>1</v>
      </c>
      <c r="G35">
        <v>1</v>
      </c>
      <c r="H35">
        <v>1</v>
      </c>
      <c r="I35" t="s">
        <v>387</v>
      </c>
      <c r="K35" t="s">
        <v>388</v>
      </c>
      <c r="L35">
        <v>1369</v>
      </c>
      <c r="N35">
        <v>1013</v>
      </c>
      <c r="O35" t="s">
        <v>323</v>
      </c>
      <c r="P35" t="s">
        <v>323</v>
      </c>
      <c r="Q35">
        <v>1</v>
      </c>
      <c r="X35">
        <v>8.1</v>
      </c>
      <c r="Y35">
        <v>0</v>
      </c>
      <c r="Z35">
        <v>0</v>
      </c>
      <c r="AA35">
        <v>0</v>
      </c>
      <c r="AB35">
        <v>9.62</v>
      </c>
      <c r="AC35">
        <v>0</v>
      </c>
      <c r="AD35">
        <v>1</v>
      </c>
      <c r="AE35">
        <v>1</v>
      </c>
      <c r="AF35" t="s">
        <v>18</v>
      </c>
      <c r="AG35">
        <v>9.315</v>
      </c>
      <c r="AH35">
        <v>2</v>
      </c>
      <c r="AI35">
        <v>26995712</v>
      </c>
      <c r="AJ35">
        <v>24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ht="12.75">
      <c r="A36">
        <f>ROW(Source!A28)</f>
        <v>28</v>
      </c>
      <c r="B36">
        <v>26995718</v>
      </c>
      <c r="C36">
        <v>26995711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26</v>
      </c>
      <c r="K36" t="s">
        <v>358</v>
      </c>
      <c r="L36">
        <v>608254</v>
      </c>
      <c r="N36">
        <v>1013</v>
      </c>
      <c r="O36" t="s">
        <v>359</v>
      </c>
      <c r="P36" t="s">
        <v>359</v>
      </c>
      <c r="Q36">
        <v>1</v>
      </c>
      <c r="X36">
        <v>0.01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17</v>
      </c>
      <c r="AG36">
        <v>0.0125</v>
      </c>
      <c r="AH36">
        <v>2</v>
      </c>
      <c r="AI36">
        <v>26995713</v>
      </c>
      <c r="AJ36">
        <v>25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ht="12.75">
      <c r="A37">
        <f>ROW(Source!A28)</f>
        <v>28</v>
      </c>
      <c r="B37">
        <v>26995719</v>
      </c>
      <c r="C37">
        <v>26995711</v>
      </c>
      <c r="D37">
        <v>24312004</v>
      </c>
      <c r="E37">
        <v>1</v>
      </c>
      <c r="F37">
        <v>1</v>
      </c>
      <c r="G37">
        <v>1</v>
      </c>
      <c r="H37">
        <v>2</v>
      </c>
      <c r="I37" t="s">
        <v>389</v>
      </c>
      <c r="J37" t="s">
        <v>390</v>
      </c>
      <c r="K37" t="s">
        <v>391</v>
      </c>
      <c r="L37">
        <v>1368</v>
      </c>
      <c r="N37">
        <v>1011</v>
      </c>
      <c r="O37" t="s">
        <v>327</v>
      </c>
      <c r="P37" t="s">
        <v>327</v>
      </c>
      <c r="Q37">
        <v>1</v>
      </c>
      <c r="X37">
        <v>0.01</v>
      </c>
      <c r="Y37">
        <v>0</v>
      </c>
      <c r="Z37">
        <v>31.26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17</v>
      </c>
      <c r="AG37">
        <v>0.0125</v>
      </c>
      <c r="AH37">
        <v>2</v>
      </c>
      <c r="AI37">
        <v>26995714</v>
      </c>
      <c r="AJ37">
        <v>26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ht="12.75">
      <c r="A38">
        <f>ROW(Source!A28)</f>
        <v>28</v>
      </c>
      <c r="B38">
        <v>26995720</v>
      </c>
      <c r="C38">
        <v>26995711</v>
      </c>
      <c r="D38">
        <v>24262102</v>
      </c>
      <c r="E38">
        <v>1</v>
      </c>
      <c r="F38">
        <v>1</v>
      </c>
      <c r="G38">
        <v>1</v>
      </c>
      <c r="H38">
        <v>2</v>
      </c>
      <c r="I38" t="s">
        <v>371</v>
      </c>
      <c r="J38" t="s">
        <v>372</v>
      </c>
      <c r="K38" t="s">
        <v>373</v>
      </c>
      <c r="L38">
        <v>1368</v>
      </c>
      <c r="N38">
        <v>1011</v>
      </c>
      <c r="O38" t="s">
        <v>327</v>
      </c>
      <c r="P38" t="s">
        <v>327</v>
      </c>
      <c r="Q38">
        <v>1</v>
      </c>
      <c r="X38">
        <v>0.01</v>
      </c>
      <c r="Y38">
        <v>0</v>
      </c>
      <c r="Z38">
        <v>87.17</v>
      </c>
      <c r="AA38">
        <v>11.6</v>
      </c>
      <c r="AB38">
        <v>0</v>
      </c>
      <c r="AC38">
        <v>0</v>
      </c>
      <c r="AD38">
        <v>1</v>
      </c>
      <c r="AE38">
        <v>0</v>
      </c>
      <c r="AF38" t="s">
        <v>17</v>
      </c>
      <c r="AG38">
        <v>0.0125</v>
      </c>
      <c r="AH38">
        <v>3</v>
      </c>
      <c r="AI38">
        <v>-1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ht="12.75">
      <c r="A39">
        <f>ROW(Source!A28)</f>
        <v>28</v>
      </c>
      <c r="B39">
        <v>26995721</v>
      </c>
      <c r="C39">
        <v>26995711</v>
      </c>
      <c r="D39">
        <v>24302728</v>
      </c>
      <c r="E39">
        <v>1</v>
      </c>
      <c r="F39">
        <v>1</v>
      </c>
      <c r="G39">
        <v>1</v>
      </c>
      <c r="H39">
        <v>3</v>
      </c>
      <c r="I39" t="s">
        <v>392</v>
      </c>
      <c r="J39" t="s">
        <v>393</v>
      </c>
      <c r="K39" t="s">
        <v>394</v>
      </c>
      <c r="L39">
        <v>1346</v>
      </c>
      <c r="N39">
        <v>1009</v>
      </c>
      <c r="O39" t="s">
        <v>341</v>
      </c>
      <c r="P39" t="s">
        <v>341</v>
      </c>
      <c r="Q39">
        <v>1</v>
      </c>
      <c r="X39">
        <v>0.1</v>
      </c>
      <c r="Y39">
        <v>1.82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G39">
        <v>0.1</v>
      </c>
      <c r="AH39">
        <v>2</v>
      </c>
      <c r="AI39">
        <v>26995715</v>
      </c>
      <c r="AJ39">
        <v>27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ht="12.75">
      <c r="A40">
        <f>ROW(Source!A28)</f>
        <v>28</v>
      </c>
      <c r="B40">
        <v>26995722</v>
      </c>
      <c r="C40">
        <v>26995711</v>
      </c>
      <c r="D40">
        <v>24327390</v>
      </c>
      <c r="E40">
        <v>1</v>
      </c>
      <c r="F40">
        <v>1</v>
      </c>
      <c r="G40">
        <v>1</v>
      </c>
      <c r="H40">
        <v>3</v>
      </c>
      <c r="I40" t="s">
        <v>395</v>
      </c>
      <c r="J40" t="s">
        <v>396</v>
      </c>
      <c r="K40" t="s">
        <v>397</v>
      </c>
      <c r="L40">
        <v>1348</v>
      </c>
      <c r="N40">
        <v>1009</v>
      </c>
      <c r="O40" t="s">
        <v>203</v>
      </c>
      <c r="P40" t="s">
        <v>203</v>
      </c>
      <c r="Q40">
        <v>1000</v>
      </c>
      <c r="X40">
        <v>0.013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G40">
        <v>0.013</v>
      </c>
      <c r="AH40">
        <v>2</v>
      </c>
      <c r="AI40">
        <v>26995716</v>
      </c>
      <c r="AJ40">
        <v>28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ht="12.75">
      <c r="A41">
        <f>ROW(Source!A29)</f>
        <v>29</v>
      </c>
      <c r="B41">
        <v>26995726</v>
      </c>
      <c r="C41">
        <v>26995723</v>
      </c>
      <c r="D41">
        <v>9415493</v>
      </c>
      <c r="E41">
        <v>1</v>
      </c>
      <c r="F41">
        <v>1</v>
      </c>
      <c r="G41">
        <v>1</v>
      </c>
      <c r="H41">
        <v>1</v>
      </c>
      <c r="I41" t="s">
        <v>398</v>
      </c>
      <c r="K41" t="s">
        <v>399</v>
      </c>
      <c r="L41">
        <v>1369</v>
      </c>
      <c r="N41">
        <v>1013</v>
      </c>
      <c r="O41" t="s">
        <v>323</v>
      </c>
      <c r="P41" t="s">
        <v>323</v>
      </c>
      <c r="Q41">
        <v>1</v>
      </c>
      <c r="X41">
        <v>29.38</v>
      </c>
      <c r="Y41">
        <v>0</v>
      </c>
      <c r="Z41">
        <v>0</v>
      </c>
      <c r="AA41">
        <v>0</v>
      </c>
      <c r="AB41">
        <v>8.53</v>
      </c>
      <c r="AC41">
        <v>0</v>
      </c>
      <c r="AD41">
        <v>1</v>
      </c>
      <c r="AE41">
        <v>1</v>
      </c>
      <c r="AF41" t="s">
        <v>46</v>
      </c>
      <c r="AG41">
        <v>58.76</v>
      </c>
      <c r="AH41">
        <v>2</v>
      </c>
      <c r="AI41">
        <v>26995724</v>
      </c>
      <c r="AJ41">
        <v>29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ht="12.75">
      <c r="A42">
        <f>ROW(Source!A29)</f>
        <v>29</v>
      </c>
      <c r="B42">
        <v>26995727</v>
      </c>
      <c r="C42">
        <v>26995723</v>
      </c>
      <c r="D42">
        <v>24262102</v>
      </c>
      <c r="E42">
        <v>1</v>
      </c>
      <c r="F42">
        <v>1</v>
      </c>
      <c r="G42">
        <v>1</v>
      </c>
      <c r="H42">
        <v>2</v>
      </c>
      <c r="I42" t="s">
        <v>371</v>
      </c>
      <c r="J42" t="s">
        <v>372</v>
      </c>
      <c r="K42" t="s">
        <v>373</v>
      </c>
      <c r="L42">
        <v>1368</v>
      </c>
      <c r="N42">
        <v>1011</v>
      </c>
      <c r="O42" t="s">
        <v>327</v>
      </c>
      <c r="P42" t="s">
        <v>327</v>
      </c>
      <c r="Q42">
        <v>1</v>
      </c>
      <c r="X42">
        <v>0.01</v>
      </c>
      <c r="Y42">
        <v>0</v>
      </c>
      <c r="Z42">
        <v>87.17</v>
      </c>
      <c r="AA42">
        <v>11.6</v>
      </c>
      <c r="AB42">
        <v>0</v>
      </c>
      <c r="AC42">
        <v>0</v>
      </c>
      <c r="AD42">
        <v>1</v>
      </c>
      <c r="AE42">
        <v>0</v>
      </c>
      <c r="AF42" t="s">
        <v>46</v>
      </c>
      <c r="AG42">
        <v>0.02</v>
      </c>
      <c r="AH42">
        <v>3</v>
      </c>
      <c r="AI42">
        <v>-1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ht="12.75">
      <c r="A43">
        <f>ROW(Source!A29)</f>
        <v>29</v>
      </c>
      <c r="B43">
        <v>26995728</v>
      </c>
      <c r="C43">
        <v>26995723</v>
      </c>
      <c r="D43">
        <v>24511611</v>
      </c>
      <c r="E43">
        <v>1</v>
      </c>
      <c r="F43">
        <v>1</v>
      </c>
      <c r="G43">
        <v>1</v>
      </c>
      <c r="H43">
        <v>3</v>
      </c>
      <c r="I43" t="s">
        <v>620</v>
      </c>
      <c r="J43" t="s">
        <v>621</v>
      </c>
      <c r="K43" t="s">
        <v>622</v>
      </c>
      <c r="L43">
        <v>1348</v>
      </c>
      <c r="N43">
        <v>1009</v>
      </c>
      <c r="O43" t="s">
        <v>203</v>
      </c>
      <c r="P43" t="s">
        <v>203</v>
      </c>
      <c r="Q43">
        <v>1000</v>
      </c>
      <c r="X43">
        <v>0.012</v>
      </c>
      <c r="Y43">
        <v>3210.5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46</v>
      </c>
      <c r="AG43">
        <v>0.024</v>
      </c>
      <c r="AH43">
        <v>3</v>
      </c>
      <c r="AI43">
        <v>-1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ht="12.75">
      <c r="A44">
        <f>ROW(Source!A29)</f>
        <v>29</v>
      </c>
      <c r="B44">
        <v>26995729</v>
      </c>
      <c r="C44">
        <v>26995723</v>
      </c>
      <c r="D44">
        <v>24316073</v>
      </c>
      <c r="E44">
        <v>1</v>
      </c>
      <c r="F44">
        <v>1</v>
      </c>
      <c r="G44">
        <v>1</v>
      </c>
      <c r="H44">
        <v>3</v>
      </c>
      <c r="I44" t="s">
        <v>623</v>
      </c>
      <c r="J44" t="s">
        <v>624</v>
      </c>
      <c r="K44" t="s">
        <v>625</v>
      </c>
      <c r="L44">
        <v>1348</v>
      </c>
      <c r="N44">
        <v>1009</v>
      </c>
      <c r="O44" t="s">
        <v>203</v>
      </c>
      <c r="P44" t="s">
        <v>203</v>
      </c>
      <c r="Q44">
        <v>1000</v>
      </c>
      <c r="X44">
        <v>0.012</v>
      </c>
      <c r="Y44">
        <v>586.47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46</v>
      </c>
      <c r="AG44">
        <v>0.024</v>
      </c>
      <c r="AH44">
        <v>3</v>
      </c>
      <c r="AI44">
        <v>-1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ht="12.75">
      <c r="A45">
        <f>ROW(Source!A29)</f>
        <v>29</v>
      </c>
      <c r="B45">
        <v>26995730</v>
      </c>
      <c r="C45">
        <v>26995723</v>
      </c>
      <c r="D45">
        <v>24465850</v>
      </c>
      <c r="E45">
        <v>1</v>
      </c>
      <c r="F45">
        <v>1</v>
      </c>
      <c r="G45">
        <v>1</v>
      </c>
      <c r="H45">
        <v>3</v>
      </c>
      <c r="I45" t="s">
        <v>626</v>
      </c>
      <c r="J45" t="s">
        <v>627</v>
      </c>
      <c r="K45" t="s">
        <v>628</v>
      </c>
      <c r="L45">
        <v>1348</v>
      </c>
      <c r="N45">
        <v>1009</v>
      </c>
      <c r="O45" t="s">
        <v>203</v>
      </c>
      <c r="P45" t="s">
        <v>203</v>
      </c>
      <c r="Q45">
        <v>1000</v>
      </c>
      <c r="X45">
        <v>0.012</v>
      </c>
      <c r="Y45">
        <v>492.7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46</v>
      </c>
      <c r="AG45">
        <v>0.024</v>
      </c>
      <c r="AH45">
        <v>3</v>
      </c>
      <c r="AI45">
        <v>-1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ht="12.75">
      <c r="A46">
        <f>ROW(Source!A29)</f>
        <v>29</v>
      </c>
      <c r="B46">
        <v>26995731</v>
      </c>
      <c r="C46">
        <v>26995723</v>
      </c>
      <c r="D46">
        <v>24337057</v>
      </c>
      <c r="E46">
        <v>1</v>
      </c>
      <c r="F46">
        <v>1</v>
      </c>
      <c r="G46">
        <v>1</v>
      </c>
      <c r="H46">
        <v>3</v>
      </c>
      <c r="I46" t="s">
        <v>629</v>
      </c>
      <c r="J46" t="s">
        <v>630</v>
      </c>
      <c r="K46" t="s">
        <v>631</v>
      </c>
      <c r="L46">
        <v>1348</v>
      </c>
      <c r="N46">
        <v>1009</v>
      </c>
      <c r="O46" t="s">
        <v>203</v>
      </c>
      <c r="P46" t="s">
        <v>203</v>
      </c>
      <c r="Q46">
        <v>1000</v>
      </c>
      <c r="X46">
        <v>0.003</v>
      </c>
      <c r="Y46">
        <v>16385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46</v>
      </c>
      <c r="AG46">
        <v>0.006</v>
      </c>
      <c r="AH46">
        <v>3</v>
      </c>
      <c r="AI46">
        <v>-1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ht="12.75">
      <c r="A47">
        <f>ROW(Source!A29)</f>
        <v>29</v>
      </c>
      <c r="B47">
        <v>26995732</v>
      </c>
      <c r="C47">
        <v>26995723</v>
      </c>
      <c r="D47">
        <v>24326231</v>
      </c>
      <c r="E47">
        <v>1</v>
      </c>
      <c r="F47">
        <v>1</v>
      </c>
      <c r="G47">
        <v>1</v>
      </c>
      <c r="H47">
        <v>3</v>
      </c>
      <c r="I47" t="s">
        <v>632</v>
      </c>
      <c r="J47" t="s">
        <v>633</v>
      </c>
      <c r="K47" t="s">
        <v>634</v>
      </c>
      <c r="L47">
        <v>1346</v>
      </c>
      <c r="N47">
        <v>1009</v>
      </c>
      <c r="O47" t="s">
        <v>341</v>
      </c>
      <c r="P47" t="s">
        <v>341</v>
      </c>
      <c r="Q47">
        <v>1</v>
      </c>
      <c r="X47">
        <v>1.4</v>
      </c>
      <c r="Y47">
        <v>8.09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46</v>
      </c>
      <c r="AG47">
        <v>2.8</v>
      </c>
      <c r="AH47">
        <v>3</v>
      </c>
      <c r="AI47">
        <v>-1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ht="12.75">
      <c r="A48">
        <f>ROW(Source!A29)</f>
        <v>29</v>
      </c>
      <c r="B48">
        <v>26995733</v>
      </c>
      <c r="C48">
        <v>26995723</v>
      </c>
      <c r="D48">
        <v>24335584</v>
      </c>
      <c r="E48">
        <v>1</v>
      </c>
      <c r="F48">
        <v>1</v>
      </c>
      <c r="G48">
        <v>1</v>
      </c>
      <c r="H48">
        <v>3</v>
      </c>
      <c r="I48" t="s">
        <v>635</v>
      </c>
      <c r="J48" t="s">
        <v>636</v>
      </c>
      <c r="K48" t="s">
        <v>637</v>
      </c>
      <c r="L48">
        <v>1339</v>
      </c>
      <c r="N48">
        <v>1007</v>
      </c>
      <c r="O48" t="s">
        <v>377</v>
      </c>
      <c r="P48" t="s">
        <v>377</v>
      </c>
      <c r="Q48">
        <v>1</v>
      </c>
      <c r="X48">
        <v>0.0047</v>
      </c>
      <c r="Y48">
        <v>74.58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46</v>
      </c>
      <c r="AG48">
        <v>0.0094</v>
      </c>
      <c r="AH48">
        <v>3</v>
      </c>
      <c r="AI48">
        <v>-1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ht="12.75">
      <c r="A49">
        <f>ROW(Source!A30)</f>
        <v>30</v>
      </c>
      <c r="B49">
        <v>27030111</v>
      </c>
      <c r="C49">
        <v>27030102</v>
      </c>
      <c r="D49">
        <v>9416104</v>
      </c>
      <c r="E49">
        <v>1</v>
      </c>
      <c r="F49">
        <v>1</v>
      </c>
      <c r="G49">
        <v>1</v>
      </c>
      <c r="H49">
        <v>1</v>
      </c>
      <c r="I49" t="s">
        <v>400</v>
      </c>
      <c r="K49" t="s">
        <v>401</v>
      </c>
      <c r="L49">
        <v>1369</v>
      </c>
      <c r="N49">
        <v>1013</v>
      </c>
      <c r="O49" t="s">
        <v>323</v>
      </c>
      <c r="P49" t="s">
        <v>323</v>
      </c>
      <c r="Q49">
        <v>1</v>
      </c>
      <c r="X49">
        <v>16.94</v>
      </c>
      <c r="Y49">
        <v>0</v>
      </c>
      <c r="Z49">
        <v>0</v>
      </c>
      <c r="AA49">
        <v>0</v>
      </c>
      <c r="AB49">
        <v>8.97</v>
      </c>
      <c r="AC49">
        <v>0</v>
      </c>
      <c r="AD49">
        <v>1</v>
      </c>
      <c r="AE49">
        <v>1</v>
      </c>
      <c r="AF49" t="s">
        <v>18</v>
      </c>
      <c r="AG49">
        <v>19.481</v>
      </c>
      <c r="AH49">
        <v>2</v>
      </c>
      <c r="AI49">
        <v>27030103</v>
      </c>
      <c r="AJ49">
        <v>31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ht="12.75">
      <c r="A50">
        <f>ROW(Source!A30)</f>
        <v>30</v>
      </c>
      <c r="B50">
        <v>27030112</v>
      </c>
      <c r="C50">
        <v>27030102</v>
      </c>
      <c r="D50">
        <v>121548</v>
      </c>
      <c r="E50">
        <v>1</v>
      </c>
      <c r="F50">
        <v>1</v>
      </c>
      <c r="G50">
        <v>1</v>
      </c>
      <c r="H50">
        <v>1</v>
      </c>
      <c r="I50" t="s">
        <v>26</v>
      </c>
      <c r="K50" t="s">
        <v>358</v>
      </c>
      <c r="L50">
        <v>608254</v>
      </c>
      <c r="N50">
        <v>1013</v>
      </c>
      <c r="O50" t="s">
        <v>359</v>
      </c>
      <c r="P50" t="s">
        <v>359</v>
      </c>
      <c r="Q50">
        <v>1</v>
      </c>
      <c r="X50">
        <v>0.01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2</v>
      </c>
      <c r="AF50" t="s">
        <v>17</v>
      </c>
      <c r="AG50">
        <v>0.0125</v>
      </c>
      <c r="AH50">
        <v>2</v>
      </c>
      <c r="AI50">
        <v>27030104</v>
      </c>
      <c r="AJ50">
        <v>32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ht="12.75">
      <c r="A51">
        <f>ROW(Source!A30)</f>
        <v>30</v>
      </c>
      <c r="B51">
        <v>27030113</v>
      </c>
      <c r="C51">
        <v>27030102</v>
      </c>
      <c r="D51">
        <v>24312004</v>
      </c>
      <c r="E51">
        <v>1</v>
      </c>
      <c r="F51">
        <v>1</v>
      </c>
      <c r="G51">
        <v>1</v>
      </c>
      <c r="H51">
        <v>2</v>
      </c>
      <c r="I51" t="s">
        <v>389</v>
      </c>
      <c r="J51" t="s">
        <v>390</v>
      </c>
      <c r="K51" t="s">
        <v>391</v>
      </c>
      <c r="L51">
        <v>1368</v>
      </c>
      <c r="N51">
        <v>1011</v>
      </c>
      <c r="O51" t="s">
        <v>327</v>
      </c>
      <c r="P51" t="s">
        <v>327</v>
      </c>
      <c r="Q51">
        <v>1</v>
      </c>
      <c r="X51">
        <v>0.01</v>
      </c>
      <c r="Y51">
        <v>0</v>
      </c>
      <c r="Z51">
        <v>31.26</v>
      </c>
      <c r="AA51">
        <v>13.5</v>
      </c>
      <c r="AB51">
        <v>0</v>
      </c>
      <c r="AC51">
        <v>0</v>
      </c>
      <c r="AD51">
        <v>1</v>
      </c>
      <c r="AE51">
        <v>0</v>
      </c>
      <c r="AF51" t="s">
        <v>17</v>
      </c>
      <c r="AG51">
        <v>0.0125</v>
      </c>
      <c r="AH51">
        <v>2</v>
      </c>
      <c r="AI51">
        <v>27030105</v>
      </c>
      <c r="AJ51">
        <v>33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ht="12.75">
      <c r="A52">
        <f>ROW(Source!A30)</f>
        <v>30</v>
      </c>
      <c r="B52">
        <v>27030114</v>
      </c>
      <c r="C52">
        <v>27030102</v>
      </c>
      <c r="D52">
        <v>24262102</v>
      </c>
      <c r="E52">
        <v>1</v>
      </c>
      <c r="F52">
        <v>1</v>
      </c>
      <c r="G52">
        <v>1</v>
      </c>
      <c r="H52">
        <v>2</v>
      </c>
      <c r="I52" t="s">
        <v>371</v>
      </c>
      <c r="J52" t="s">
        <v>372</v>
      </c>
      <c r="K52" t="s">
        <v>373</v>
      </c>
      <c r="L52">
        <v>1368</v>
      </c>
      <c r="N52">
        <v>1011</v>
      </c>
      <c r="O52" t="s">
        <v>327</v>
      </c>
      <c r="P52" t="s">
        <v>327</v>
      </c>
      <c r="Q52">
        <v>1</v>
      </c>
      <c r="X52">
        <v>0.09</v>
      </c>
      <c r="Y52">
        <v>0</v>
      </c>
      <c r="Z52">
        <v>87.17</v>
      </c>
      <c r="AA52">
        <v>11.6</v>
      </c>
      <c r="AB52">
        <v>0</v>
      </c>
      <c r="AC52">
        <v>0</v>
      </c>
      <c r="AD52">
        <v>1</v>
      </c>
      <c r="AE52">
        <v>0</v>
      </c>
      <c r="AF52" t="s">
        <v>17</v>
      </c>
      <c r="AG52">
        <v>0.11249999999999999</v>
      </c>
      <c r="AH52">
        <v>2</v>
      </c>
      <c r="AI52">
        <v>27030106</v>
      </c>
      <c r="AJ52">
        <v>34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ht="12.75">
      <c r="A53">
        <f>ROW(Source!A30)</f>
        <v>30</v>
      </c>
      <c r="B53">
        <v>27030115</v>
      </c>
      <c r="C53">
        <v>27030102</v>
      </c>
      <c r="D53">
        <v>24331087</v>
      </c>
      <c r="E53">
        <v>1</v>
      </c>
      <c r="F53">
        <v>1</v>
      </c>
      <c r="G53">
        <v>1</v>
      </c>
      <c r="H53">
        <v>3</v>
      </c>
      <c r="I53" t="s">
        <v>402</v>
      </c>
      <c r="J53" t="s">
        <v>403</v>
      </c>
      <c r="K53" t="s">
        <v>404</v>
      </c>
      <c r="L53">
        <v>1327</v>
      </c>
      <c r="N53">
        <v>1005</v>
      </c>
      <c r="O53" t="s">
        <v>348</v>
      </c>
      <c r="P53" t="s">
        <v>348</v>
      </c>
      <c r="Q53">
        <v>1</v>
      </c>
      <c r="X53">
        <v>0.33</v>
      </c>
      <c r="Y53">
        <v>72.32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G53">
        <v>0.33</v>
      </c>
      <c r="AH53">
        <v>2</v>
      </c>
      <c r="AI53">
        <v>27030107</v>
      </c>
      <c r="AJ53">
        <v>35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ht="12.75">
      <c r="A54">
        <f>ROW(Source!A30)</f>
        <v>30</v>
      </c>
      <c r="B54">
        <v>27030116</v>
      </c>
      <c r="C54">
        <v>27030102</v>
      </c>
      <c r="D54">
        <v>24313317</v>
      </c>
      <c r="E54">
        <v>1</v>
      </c>
      <c r="F54">
        <v>1</v>
      </c>
      <c r="G54">
        <v>1</v>
      </c>
      <c r="H54">
        <v>3</v>
      </c>
      <c r="I54" t="s">
        <v>405</v>
      </c>
      <c r="J54" t="s">
        <v>406</v>
      </c>
      <c r="K54" t="s">
        <v>638</v>
      </c>
      <c r="L54">
        <v>1348</v>
      </c>
      <c r="N54">
        <v>1009</v>
      </c>
      <c r="O54" t="s">
        <v>203</v>
      </c>
      <c r="P54" t="s">
        <v>203</v>
      </c>
      <c r="Q54">
        <v>1000</v>
      </c>
      <c r="X54">
        <v>0.0055</v>
      </c>
      <c r="Y54">
        <v>4294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G54">
        <v>0.0055</v>
      </c>
      <c r="AH54">
        <v>2</v>
      </c>
      <c r="AI54">
        <v>27030108</v>
      </c>
      <c r="AJ54">
        <v>36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ht="12.75">
      <c r="A55">
        <f>ROW(Source!A30)</f>
        <v>30</v>
      </c>
      <c r="B55">
        <v>27030117</v>
      </c>
      <c r="C55">
        <v>27030102</v>
      </c>
      <c r="D55">
        <v>24302728</v>
      </c>
      <c r="E55">
        <v>1</v>
      </c>
      <c r="F55">
        <v>1</v>
      </c>
      <c r="G55">
        <v>1</v>
      </c>
      <c r="H55">
        <v>3</v>
      </c>
      <c r="I55" t="s">
        <v>392</v>
      </c>
      <c r="J55" t="s">
        <v>393</v>
      </c>
      <c r="K55" t="s">
        <v>394</v>
      </c>
      <c r="L55">
        <v>1346</v>
      </c>
      <c r="N55">
        <v>1009</v>
      </c>
      <c r="O55" t="s">
        <v>341</v>
      </c>
      <c r="P55" t="s">
        <v>341</v>
      </c>
      <c r="Q55">
        <v>1</v>
      </c>
      <c r="X55">
        <v>0.11</v>
      </c>
      <c r="Y55">
        <v>1.82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G55">
        <v>0.11</v>
      </c>
      <c r="AH55">
        <v>2</v>
      </c>
      <c r="AI55">
        <v>27030109</v>
      </c>
      <c r="AJ55">
        <v>37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ht="12.75">
      <c r="A56">
        <f>ROW(Source!A30)</f>
        <v>30</v>
      </c>
      <c r="B56">
        <v>27030118</v>
      </c>
      <c r="C56">
        <v>27030102</v>
      </c>
      <c r="D56">
        <v>24577300</v>
      </c>
      <c r="E56">
        <v>1</v>
      </c>
      <c r="F56">
        <v>1</v>
      </c>
      <c r="G56">
        <v>1</v>
      </c>
      <c r="H56">
        <v>3</v>
      </c>
      <c r="I56" t="s">
        <v>407</v>
      </c>
      <c r="J56" t="s">
        <v>408</v>
      </c>
      <c r="K56" t="s">
        <v>639</v>
      </c>
      <c r="L56">
        <v>1348</v>
      </c>
      <c r="N56">
        <v>1009</v>
      </c>
      <c r="O56" t="s">
        <v>203</v>
      </c>
      <c r="P56" t="s">
        <v>203</v>
      </c>
      <c r="Q56">
        <v>1000</v>
      </c>
      <c r="X56">
        <v>0.057</v>
      </c>
      <c r="Y56">
        <v>15481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G56">
        <v>0.057</v>
      </c>
      <c r="AH56">
        <v>2</v>
      </c>
      <c r="AI56">
        <v>27030110</v>
      </c>
      <c r="AJ56">
        <v>38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ht="12.75">
      <c r="A57">
        <f>ROW(Source!A31)</f>
        <v>31</v>
      </c>
      <c r="B57">
        <v>27030690</v>
      </c>
      <c r="C57">
        <v>27030684</v>
      </c>
      <c r="D57">
        <v>9415352</v>
      </c>
      <c r="E57">
        <v>1</v>
      </c>
      <c r="F57">
        <v>1</v>
      </c>
      <c r="G57">
        <v>1</v>
      </c>
      <c r="H57">
        <v>1</v>
      </c>
      <c r="I57" t="s">
        <v>387</v>
      </c>
      <c r="K57" t="s">
        <v>388</v>
      </c>
      <c r="L57">
        <v>1369</v>
      </c>
      <c r="N57">
        <v>1013</v>
      </c>
      <c r="O57" t="s">
        <v>323</v>
      </c>
      <c r="P57" t="s">
        <v>323</v>
      </c>
      <c r="Q57">
        <v>1</v>
      </c>
      <c r="X57">
        <v>6.55</v>
      </c>
      <c r="Y57">
        <v>0</v>
      </c>
      <c r="Z57">
        <v>0</v>
      </c>
      <c r="AA57">
        <v>0</v>
      </c>
      <c r="AB57">
        <v>9.62</v>
      </c>
      <c r="AC57">
        <v>0</v>
      </c>
      <c r="AD57">
        <v>1</v>
      </c>
      <c r="AE57">
        <v>1</v>
      </c>
      <c r="AF57" t="s">
        <v>18</v>
      </c>
      <c r="AG57">
        <v>7.532499999999999</v>
      </c>
      <c r="AH57">
        <v>2</v>
      </c>
      <c r="AI57">
        <v>27030685</v>
      </c>
      <c r="AJ57">
        <v>39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ht="12.75">
      <c r="A58">
        <f>ROW(Source!A31)</f>
        <v>31</v>
      </c>
      <c r="B58">
        <v>27030691</v>
      </c>
      <c r="C58">
        <v>27030684</v>
      </c>
      <c r="D58">
        <v>121548</v>
      </c>
      <c r="E58">
        <v>1</v>
      </c>
      <c r="F58">
        <v>1</v>
      </c>
      <c r="G58">
        <v>1</v>
      </c>
      <c r="H58">
        <v>1</v>
      </c>
      <c r="I58" t="s">
        <v>26</v>
      </c>
      <c r="K58" t="s">
        <v>358</v>
      </c>
      <c r="L58">
        <v>608254</v>
      </c>
      <c r="N58">
        <v>1013</v>
      </c>
      <c r="O58" t="s">
        <v>359</v>
      </c>
      <c r="P58" t="s">
        <v>359</v>
      </c>
      <c r="Q58">
        <v>1</v>
      </c>
      <c r="X58">
        <v>0.01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17</v>
      </c>
      <c r="AG58">
        <v>0.0125</v>
      </c>
      <c r="AH58">
        <v>2</v>
      </c>
      <c r="AI58">
        <v>27030686</v>
      </c>
      <c r="AJ58">
        <v>40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ht="12.75">
      <c r="A59">
        <f>ROW(Source!A31)</f>
        <v>31</v>
      </c>
      <c r="B59">
        <v>27030692</v>
      </c>
      <c r="C59">
        <v>27030684</v>
      </c>
      <c r="D59">
        <v>21330172</v>
      </c>
      <c r="E59">
        <v>1</v>
      </c>
      <c r="F59">
        <v>1</v>
      </c>
      <c r="G59">
        <v>1</v>
      </c>
      <c r="H59">
        <v>2</v>
      </c>
      <c r="I59" t="s">
        <v>389</v>
      </c>
      <c r="J59" t="s">
        <v>410</v>
      </c>
      <c r="K59" t="s">
        <v>391</v>
      </c>
      <c r="L59">
        <v>1368</v>
      </c>
      <c r="N59">
        <v>1011</v>
      </c>
      <c r="O59" t="s">
        <v>327</v>
      </c>
      <c r="P59" t="s">
        <v>327</v>
      </c>
      <c r="Q59">
        <v>1</v>
      </c>
      <c r="X59">
        <v>0.01</v>
      </c>
      <c r="Y59">
        <v>0</v>
      </c>
      <c r="Z59">
        <v>31.26</v>
      </c>
      <c r="AA59">
        <v>11.6</v>
      </c>
      <c r="AB59">
        <v>0</v>
      </c>
      <c r="AC59">
        <v>0</v>
      </c>
      <c r="AD59">
        <v>1</v>
      </c>
      <c r="AE59">
        <v>0</v>
      </c>
      <c r="AF59" t="s">
        <v>17</v>
      </c>
      <c r="AG59">
        <v>0.0125</v>
      </c>
      <c r="AH59">
        <v>2</v>
      </c>
      <c r="AI59">
        <v>27030687</v>
      </c>
      <c r="AJ59">
        <v>41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ht="12.75">
      <c r="A60">
        <f>ROW(Source!A31)</f>
        <v>31</v>
      </c>
      <c r="B60">
        <v>27030693</v>
      </c>
      <c r="C60">
        <v>27030684</v>
      </c>
      <c r="D60">
        <v>21280770</v>
      </c>
      <c r="E60">
        <v>1</v>
      </c>
      <c r="F60">
        <v>1</v>
      </c>
      <c r="G60">
        <v>1</v>
      </c>
      <c r="H60">
        <v>2</v>
      </c>
      <c r="I60" t="s">
        <v>371</v>
      </c>
      <c r="J60" t="s">
        <v>458</v>
      </c>
      <c r="K60" t="s">
        <v>373</v>
      </c>
      <c r="L60">
        <v>1368</v>
      </c>
      <c r="N60">
        <v>1011</v>
      </c>
      <c r="O60" t="s">
        <v>327</v>
      </c>
      <c r="P60" t="s">
        <v>327</v>
      </c>
      <c r="Q60">
        <v>1</v>
      </c>
      <c r="X60">
        <v>0.01</v>
      </c>
      <c r="Y60">
        <v>0</v>
      </c>
      <c r="Z60">
        <v>87.17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17</v>
      </c>
      <c r="AG60">
        <v>0.0125</v>
      </c>
      <c r="AH60">
        <v>3</v>
      </c>
      <c r="AI60">
        <v>-1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ht="12.75">
      <c r="A61">
        <f>ROW(Source!A31)</f>
        <v>31</v>
      </c>
      <c r="B61">
        <v>27030694</v>
      </c>
      <c r="C61">
        <v>27030684</v>
      </c>
      <c r="D61">
        <v>21320836</v>
      </c>
      <c r="E61">
        <v>1</v>
      </c>
      <c r="F61">
        <v>1</v>
      </c>
      <c r="G61">
        <v>1</v>
      </c>
      <c r="H61">
        <v>3</v>
      </c>
      <c r="I61" t="s">
        <v>392</v>
      </c>
      <c r="J61" t="s">
        <v>411</v>
      </c>
      <c r="K61" t="s">
        <v>394</v>
      </c>
      <c r="L61">
        <v>1346</v>
      </c>
      <c r="N61">
        <v>1009</v>
      </c>
      <c r="O61" t="s">
        <v>341</v>
      </c>
      <c r="P61" t="s">
        <v>341</v>
      </c>
      <c r="Q61">
        <v>1</v>
      </c>
      <c r="X61">
        <v>0.1</v>
      </c>
      <c r="Y61">
        <v>1.82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G61">
        <v>0.1</v>
      </c>
      <c r="AH61">
        <v>2</v>
      </c>
      <c r="AI61">
        <v>27030688</v>
      </c>
      <c r="AJ61">
        <v>42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ht="12.75">
      <c r="A62">
        <f>ROW(Source!A31)</f>
        <v>31</v>
      </c>
      <c r="B62">
        <v>27030695</v>
      </c>
      <c r="C62">
        <v>27030684</v>
      </c>
      <c r="D62">
        <v>21345267</v>
      </c>
      <c r="E62">
        <v>1</v>
      </c>
      <c r="F62">
        <v>1</v>
      </c>
      <c r="G62">
        <v>1</v>
      </c>
      <c r="H62">
        <v>3</v>
      </c>
      <c r="I62" t="s">
        <v>395</v>
      </c>
      <c r="J62" t="s">
        <v>412</v>
      </c>
      <c r="K62" t="s">
        <v>397</v>
      </c>
      <c r="L62">
        <v>1348</v>
      </c>
      <c r="N62">
        <v>1009</v>
      </c>
      <c r="O62" t="s">
        <v>203</v>
      </c>
      <c r="P62" t="s">
        <v>203</v>
      </c>
      <c r="Q62">
        <v>1000</v>
      </c>
      <c r="X62">
        <v>0.013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G62">
        <v>0.013</v>
      </c>
      <c r="AH62">
        <v>2</v>
      </c>
      <c r="AI62">
        <v>27030689</v>
      </c>
      <c r="AJ62">
        <v>43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ht="12.75">
      <c r="A63">
        <f>ROW(Source!A32)</f>
        <v>32</v>
      </c>
      <c r="B63">
        <v>26994946</v>
      </c>
      <c r="C63">
        <v>26994943</v>
      </c>
      <c r="D63">
        <v>9415808</v>
      </c>
      <c r="E63">
        <v>1</v>
      </c>
      <c r="F63">
        <v>1</v>
      </c>
      <c r="G63">
        <v>1</v>
      </c>
      <c r="H63">
        <v>1</v>
      </c>
      <c r="I63" t="s">
        <v>413</v>
      </c>
      <c r="K63" t="s">
        <v>414</v>
      </c>
      <c r="L63">
        <v>1369</v>
      </c>
      <c r="N63">
        <v>1013</v>
      </c>
      <c r="O63" t="s">
        <v>323</v>
      </c>
      <c r="P63" t="s">
        <v>323</v>
      </c>
      <c r="Q63">
        <v>1</v>
      </c>
      <c r="X63">
        <v>20.5</v>
      </c>
      <c r="Y63">
        <v>0</v>
      </c>
      <c r="Z63">
        <v>0</v>
      </c>
      <c r="AA63">
        <v>0</v>
      </c>
      <c r="AB63">
        <v>8.09</v>
      </c>
      <c r="AC63">
        <v>0</v>
      </c>
      <c r="AD63">
        <v>1</v>
      </c>
      <c r="AE63">
        <v>1</v>
      </c>
      <c r="AF63" t="s">
        <v>18</v>
      </c>
      <c r="AG63">
        <v>23.575</v>
      </c>
      <c r="AH63">
        <v>2</v>
      </c>
      <c r="AI63">
        <v>26994944</v>
      </c>
      <c r="AJ63">
        <v>44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ht="12.75">
      <c r="A64">
        <f>ROW(Source!A32)</f>
        <v>32</v>
      </c>
      <c r="B64">
        <v>26994947</v>
      </c>
      <c r="C64">
        <v>26994943</v>
      </c>
      <c r="D64">
        <v>24262102</v>
      </c>
      <c r="E64">
        <v>1</v>
      </c>
      <c r="F64">
        <v>1</v>
      </c>
      <c r="G64">
        <v>1</v>
      </c>
      <c r="H64">
        <v>2</v>
      </c>
      <c r="I64" t="s">
        <v>371</v>
      </c>
      <c r="J64" t="s">
        <v>372</v>
      </c>
      <c r="K64" t="s">
        <v>373</v>
      </c>
      <c r="L64">
        <v>1368</v>
      </c>
      <c r="N64">
        <v>1011</v>
      </c>
      <c r="O64" t="s">
        <v>327</v>
      </c>
      <c r="P64" t="s">
        <v>327</v>
      </c>
      <c r="Q64">
        <v>1</v>
      </c>
      <c r="X64">
        <v>0.14</v>
      </c>
      <c r="Y64">
        <v>0</v>
      </c>
      <c r="Z64">
        <v>87.17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17</v>
      </c>
      <c r="AG64">
        <v>0.17500000000000002</v>
      </c>
      <c r="AH64">
        <v>3</v>
      </c>
      <c r="AI64">
        <v>-1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ht="12.75">
      <c r="A65">
        <f>ROW(Source!A32)</f>
        <v>32</v>
      </c>
      <c r="B65">
        <v>26994948</v>
      </c>
      <c r="C65">
        <v>26994943</v>
      </c>
      <c r="D65">
        <v>24262152</v>
      </c>
      <c r="E65">
        <v>1</v>
      </c>
      <c r="F65">
        <v>1</v>
      </c>
      <c r="G65">
        <v>1</v>
      </c>
      <c r="H65">
        <v>3</v>
      </c>
      <c r="I65" t="s">
        <v>616</v>
      </c>
      <c r="J65" t="s">
        <v>640</v>
      </c>
      <c r="K65" t="s">
        <v>618</v>
      </c>
      <c r="L65">
        <v>1348</v>
      </c>
      <c r="N65">
        <v>1009</v>
      </c>
      <c r="O65" t="s">
        <v>203</v>
      </c>
      <c r="P65" t="s">
        <v>203</v>
      </c>
      <c r="Q65">
        <v>1000</v>
      </c>
      <c r="X65">
        <v>0.007</v>
      </c>
      <c r="Y65">
        <v>11978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G65">
        <v>0.007</v>
      </c>
      <c r="AH65">
        <v>3</v>
      </c>
      <c r="AI65">
        <v>-1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ht="12.75">
      <c r="A66">
        <f>ROW(Source!A33)</f>
        <v>33</v>
      </c>
      <c r="B66">
        <v>26994955</v>
      </c>
      <c r="C66">
        <v>26994949</v>
      </c>
      <c r="D66">
        <v>9415152</v>
      </c>
      <c r="E66">
        <v>1</v>
      </c>
      <c r="F66">
        <v>1</v>
      </c>
      <c r="G66">
        <v>1</v>
      </c>
      <c r="H66">
        <v>1</v>
      </c>
      <c r="I66" t="s">
        <v>416</v>
      </c>
      <c r="K66" t="s">
        <v>417</v>
      </c>
      <c r="L66">
        <v>1369</v>
      </c>
      <c r="N66">
        <v>1013</v>
      </c>
      <c r="O66" t="s">
        <v>323</v>
      </c>
      <c r="P66" t="s">
        <v>323</v>
      </c>
      <c r="Q66">
        <v>1</v>
      </c>
      <c r="X66">
        <v>81.6</v>
      </c>
      <c r="Y66">
        <v>0</v>
      </c>
      <c r="Z66">
        <v>0</v>
      </c>
      <c r="AA66">
        <v>0</v>
      </c>
      <c r="AB66">
        <v>7.8</v>
      </c>
      <c r="AC66">
        <v>0</v>
      </c>
      <c r="AD66">
        <v>1</v>
      </c>
      <c r="AE66">
        <v>1</v>
      </c>
      <c r="AG66">
        <v>81.6</v>
      </c>
      <c r="AH66">
        <v>2</v>
      </c>
      <c r="AI66">
        <v>26994950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ht="12.75">
      <c r="A67">
        <f>ROW(Source!A33)</f>
        <v>33</v>
      </c>
      <c r="B67">
        <v>26994956</v>
      </c>
      <c r="C67">
        <v>26994949</v>
      </c>
      <c r="D67">
        <v>24316761</v>
      </c>
      <c r="E67">
        <v>1</v>
      </c>
      <c r="F67">
        <v>1</v>
      </c>
      <c r="G67">
        <v>1</v>
      </c>
      <c r="H67">
        <v>2</v>
      </c>
      <c r="I67" t="s">
        <v>418</v>
      </c>
      <c r="J67" t="s">
        <v>419</v>
      </c>
      <c r="K67" t="s">
        <v>420</v>
      </c>
      <c r="L67">
        <v>1368</v>
      </c>
      <c r="N67">
        <v>1011</v>
      </c>
      <c r="O67" t="s">
        <v>327</v>
      </c>
      <c r="P67" t="s">
        <v>327</v>
      </c>
      <c r="Q67">
        <v>1</v>
      </c>
      <c r="X67">
        <v>0.1</v>
      </c>
      <c r="Y67">
        <v>0</v>
      </c>
      <c r="Z67">
        <v>1.7</v>
      </c>
      <c r="AA67">
        <v>0</v>
      </c>
      <c r="AB67">
        <v>0</v>
      </c>
      <c r="AC67">
        <v>0</v>
      </c>
      <c r="AD67">
        <v>1</v>
      </c>
      <c r="AE67">
        <v>0</v>
      </c>
      <c r="AG67">
        <v>0.1</v>
      </c>
      <c r="AH67">
        <v>2</v>
      </c>
      <c r="AI67">
        <v>26994951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ht="12.75">
      <c r="A68">
        <f>ROW(Source!A33)</f>
        <v>33</v>
      </c>
      <c r="B68">
        <v>26994957</v>
      </c>
      <c r="C68">
        <v>26994949</v>
      </c>
      <c r="D68">
        <v>24262102</v>
      </c>
      <c r="E68">
        <v>1</v>
      </c>
      <c r="F68">
        <v>1</v>
      </c>
      <c r="G68">
        <v>1</v>
      </c>
      <c r="H68">
        <v>2</v>
      </c>
      <c r="I68" t="s">
        <v>371</v>
      </c>
      <c r="J68" t="s">
        <v>372</v>
      </c>
      <c r="K68" t="s">
        <v>373</v>
      </c>
      <c r="L68">
        <v>1368</v>
      </c>
      <c r="N68">
        <v>1011</v>
      </c>
      <c r="O68" t="s">
        <v>327</v>
      </c>
      <c r="P68" t="s">
        <v>327</v>
      </c>
      <c r="Q68">
        <v>1</v>
      </c>
      <c r="X68">
        <v>0.13</v>
      </c>
      <c r="Y68">
        <v>0</v>
      </c>
      <c r="Z68">
        <v>87.17</v>
      </c>
      <c r="AA68">
        <v>11.6</v>
      </c>
      <c r="AB68">
        <v>0</v>
      </c>
      <c r="AC68">
        <v>0</v>
      </c>
      <c r="AD68">
        <v>1</v>
      </c>
      <c r="AE68">
        <v>0</v>
      </c>
      <c r="AG68">
        <v>0.13</v>
      </c>
      <c r="AH68">
        <v>2</v>
      </c>
      <c r="AI68">
        <v>26994952</v>
      </c>
      <c r="AJ68">
        <v>48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ht="12.75">
      <c r="A69">
        <f>ROW(Source!A33)</f>
        <v>33</v>
      </c>
      <c r="B69">
        <v>26994958</v>
      </c>
      <c r="C69">
        <v>26994949</v>
      </c>
      <c r="D69">
        <v>24305712</v>
      </c>
      <c r="E69">
        <v>1</v>
      </c>
      <c r="F69">
        <v>1</v>
      </c>
      <c r="G69">
        <v>1</v>
      </c>
      <c r="H69">
        <v>3</v>
      </c>
      <c r="I69" t="s">
        <v>421</v>
      </c>
      <c r="J69" t="s">
        <v>422</v>
      </c>
      <c r="K69" t="s">
        <v>423</v>
      </c>
      <c r="L69">
        <v>1327</v>
      </c>
      <c r="N69">
        <v>1005</v>
      </c>
      <c r="O69" t="s">
        <v>348</v>
      </c>
      <c r="P69" t="s">
        <v>348</v>
      </c>
      <c r="Q69">
        <v>1</v>
      </c>
      <c r="X69">
        <v>110</v>
      </c>
      <c r="Y69">
        <v>28.25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G69">
        <v>110</v>
      </c>
      <c r="AH69">
        <v>2</v>
      </c>
      <c r="AI69">
        <v>26994953</v>
      </c>
      <c r="AJ69">
        <v>49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ht="12.75">
      <c r="A70">
        <f>ROW(Source!A33)</f>
        <v>33</v>
      </c>
      <c r="B70">
        <v>26994959</v>
      </c>
      <c r="C70">
        <v>26994949</v>
      </c>
      <c r="D70">
        <v>24312272</v>
      </c>
      <c r="E70">
        <v>1</v>
      </c>
      <c r="F70">
        <v>1</v>
      </c>
      <c r="G70">
        <v>1</v>
      </c>
      <c r="H70">
        <v>3</v>
      </c>
      <c r="I70" t="s">
        <v>424</v>
      </c>
      <c r="J70" t="s">
        <v>425</v>
      </c>
      <c r="K70" t="s">
        <v>426</v>
      </c>
      <c r="L70">
        <v>1348</v>
      </c>
      <c r="N70">
        <v>1009</v>
      </c>
      <c r="O70" t="s">
        <v>203</v>
      </c>
      <c r="P70" t="s">
        <v>203</v>
      </c>
      <c r="Q70">
        <v>1000</v>
      </c>
      <c r="X70">
        <v>0.25</v>
      </c>
      <c r="Y70">
        <v>729.98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G70">
        <v>0.25</v>
      </c>
      <c r="AH70">
        <v>2</v>
      </c>
      <c r="AI70">
        <v>26994954</v>
      </c>
      <c r="AJ70">
        <v>50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ht="12.75">
      <c r="A71">
        <f>ROW(Source!A33)</f>
        <v>33</v>
      </c>
      <c r="B71">
        <v>26994960</v>
      </c>
      <c r="C71">
        <v>26994949</v>
      </c>
      <c r="D71">
        <v>24262983</v>
      </c>
      <c r="E71">
        <v>1</v>
      </c>
      <c r="F71">
        <v>1</v>
      </c>
      <c r="G71">
        <v>1</v>
      </c>
      <c r="H71">
        <v>3</v>
      </c>
      <c r="I71" t="s">
        <v>641</v>
      </c>
      <c r="J71" t="s">
        <v>642</v>
      </c>
      <c r="K71" t="s">
        <v>643</v>
      </c>
      <c r="L71">
        <v>1339</v>
      </c>
      <c r="N71">
        <v>1007</v>
      </c>
      <c r="O71" t="s">
        <v>377</v>
      </c>
      <c r="P71" t="s">
        <v>377</v>
      </c>
      <c r="Q71">
        <v>1</v>
      </c>
      <c r="X71">
        <v>0.18</v>
      </c>
      <c r="Y71">
        <v>2.44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G71">
        <v>0.18</v>
      </c>
      <c r="AH71">
        <v>3</v>
      </c>
      <c r="AI71">
        <v>-1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ht="12.75">
      <c r="A72">
        <f>ROW(Source!A34)</f>
        <v>34</v>
      </c>
      <c r="B72">
        <v>27030160</v>
      </c>
      <c r="C72">
        <v>27030151</v>
      </c>
      <c r="D72">
        <v>9415735</v>
      </c>
      <c r="E72">
        <v>1</v>
      </c>
      <c r="F72">
        <v>1</v>
      </c>
      <c r="G72">
        <v>1</v>
      </c>
      <c r="H72">
        <v>1</v>
      </c>
      <c r="I72" t="s">
        <v>321</v>
      </c>
      <c r="K72" t="s">
        <v>322</v>
      </c>
      <c r="L72">
        <v>1369</v>
      </c>
      <c r="N72">
        <v>1013</v>
      </c>
      <c r="O72" t="s">
        <v>323</v>
      </c>
      <c r="P72" t="s">
        <v>323</v>
      </c>
      <c r="Q72">
        <v>1</v>
      </c>
      <c r="X72">
        <v>75.4</v>
      </c>
      <c r="Y72">
        <v>0</v>
      </c>
      <c r="Z72">
        <v>0</v>
      </c>
      <c r="AA72">
        <v>0</v>
      </c>
      <c r="AB72">
        <v>9.07</v>
      </c>
      <c r="AC72">
        <v>0</v>
      </c>
      <c r="AD72">
        <v>1</v>
      </c>
      <c r="AE72">
        <v>1</v>
      </c>
      <c r="AF72" t="s">
        <v>48</v>
      </c>
      <c r="AG72">
        <v>173.42</v>
      </c>
      <c r="AH72">
        <v>2</v>
      </c>
      <c r="AI72">
        <v>27030152</v>
      </c>
      <c r="AJ72">
        <v>51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ht="12.75">
      <c r="A73">
        <f>ROW(Source!A34)</f>
        <v>34</v>
      </c>
      <c r="B73">
        <v>27030161</v>
      </c>
      <c r="C73">
        <v>27030151</v>
      </c>
      <c r="D73">
        <v>121548</v>
      </c>
      <c r="E73">
        <v>1</v>
      </c>
      <c r="F73">
        <v>1</v>
      </c>
      <c r="G73">
        <v>1</v>
      </c>
      <c r="H73">
        <v>1</v>
      </c>
      <c r="I73" t="s">
        <v>26</v>
      </c>
      <c r="K73" t="s">
        <v>358</v>
      </c>
      <c r="L73">
        <v>608254</v>
      </c>
      <c r="N73">
        <v>1013</v>
      </c>
      <c r="O73" t="s">
        <v>359</v>
      </c>
      <c r="P73" t="s">
        <v>359</v>
      </c>
      <c r="Q73">
        <v>1</v>
      </c>
      <c r="X73">
        <v>6.07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47</v>
      </c>
      <c r="AG73">
        <v>15.175</v>
      </c>
      <c r="AH73">
        <v>2</v>
      </c>
      <c r="AI73">
        <v>27030153</v>
      </c>
      <c r="AJ73">
        <v>52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ht="12.75">
      <c r="A74">
        <f>ROW(Source!A34)</f>
        <v>34</v>
      </c>
      <c r="B74">
        <v>27030162</v>
      </c>
      <c r="C74">
        <v>27030151</v>
      </c>
      <c r="D74">
        <v>24312004</v>
      </c>
      <c r="E74">
        <v>1</v>
      </c>
      <c r="F74">
        <v>1</v>
      </c>
      <c r="G74">
        <v>1</v>
      </c>
      <c r="H74">
        <v>2</v>
      </c>
      <c r="I74" t="s">
        <v>389</v>
      </c>
      <c r="J74" t="s">
        <v>390</v>
      </c>
      <c r="K74" t="s">
        <v>391</v>
      </c>
      <c r="L74">
        <v>1368</v>
      </c>
      <c r="N74">
        <v>1011</v>
      </c>
      <c r="O74" t="s">
        <v>327</v>
      </c>
      <c r="P74" t="s">
        <v>327</v>
      </c>
      <c r="Q74">
        <v>1</v>
      </c>
      <c r="X74">
        <v>0.62</v>
      </c>
      <c r="Y74">
        <v>0</v>
      </c>
      <c r="Z74">
        <v>31.26</v>
      </c>
      <c r="AA74">
        <v>13.5</v>
      </c>
      <c r="AB74">
        <v>0</v>
      </c>
      <c r="AC74">
        <v>0</v>
      </c>
      <c r="AD74">
        <v>1</v>
      </c>
      <c r="AE74">
        <v>0</v>
      </c>
      <c r="AF74" t="s">
        <v>47</v>
      </c>
      <c r="AG74">
        <v>1.55</v>
      </c>
      <c r="AH74">
        <v>2</v>
      </c>
      <c r="AI74">
        <v>27030154</v>
      </c>
      <c r="AJ74">
        <v>53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ht="12.75">
      <c r="A75">
        <f>ROW(Source!A34)</f>
        <v>34</v>
      </c>
      <c r="B75">
        <v>27030163</v>
      </c>
      <c r="C75">
        <v>27030151</v>
      </c>
      <c r="D75">
        <v>24313996</v>
      </c>
      <c r="E75">
        <v>1</v>
      </c>
      <c r="F75">
        <v>1</v>
      </c>
      <c r="G75">
        <v>1</v>
      </c>
      <c r="H75">
        <v>2</v>
      </c>
      <c r="I75" t="s">
        <v>427</v>
      </c>
      <c r="J75" t="s">
        <v>428</v>
      </c>
      <c r="K75" t="s">
        <v>429</v>
      </c>
      <c r="L75">
        <v>1368</v>
      </c>
      <c r="N75">
        <v>1011</v>
      </c>
      <c r="O75" t="s">
        <v>327</v>
      </c>
      <c r="P75" t="s">
        <v>327</v>
      </c>
      <c r="Q75">
        <v>1</v>
      </c>
      <c r="X75">
        <v>5.45</v>
      </c>
      <c r="Y75">
        <v>0</v>
      </c>
      <c r="Z75">
        <v>14.15</v>
      </c>
      <c r="AA75">
        <v>8.91</v>
      </c>
      <c r="AB75">
        <v>0</v>
      </c>
      <c r="AC75">
        <v>0</v>
      </c>
      <c r="AD75">
        <v>1</v>
      </c>
      <c r="AE75">
        <v>0</v>
      </c>
      <c r="AF75" t="s">
        <v>47</v>
      </c>
      <c r="AG75">
        <v>13.625</v>
      </c>
      <c r="AH75">
        <v>2</v>
      </c>
      <c r="AI75">
        <v>27030155</v>
      </c>
      <c r="AJ75">
        <v>54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ht="12.75">
      <c r="A76">
        <f>ROW(Source!A34)</f>
        <v>34</v>
      </c>
      <c r="B76">
        <v>27030164</v>
      </c>
      <c r="C76">
        <v>27030151</v>
      </c>
      <c r="D76">
        <v>24315699</v>
      </c>
      <c r="E76">
        <v>1</v>
      </c>
      <c r="F76">
        <v>1</v>
      </c>
      <c r="G76">
        <v>1</v>
      </c>
      <c r="H76">
        <v>3</v>
      </c>
      <c r="I76" t="s">
        <v>430</v>
      </c>
      <c r="J76" t="s">
        <v>431</v>
      </c>
      <c r="K76" t="s">
        <v>432</v>
      </c>
      <c r="L76">
        <v>1348</v>
      </c>
      <c r="N76">
        <v>1009</v>
      </c>
      <c r="O76" t="s">
        <v>203</v>
      </c>
      <c r="P76" t="s">
        <v>203</v>
      </c>
      <c r="Q76">
        <v>1000</v>
      </c>
      <c r="X76">
        <v>7E-05</v>
      </c>
      <c r="Y76">
        <v>8475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46</v>
      </c>
      <c r="AG76">
        <v>0.00014</v>
      </c>
      <c r="AH76">
        <v>2</v>
      </c>
      <c r="AI76">
        <v>27030156</v>
      </c>
      <c r="AJ76">
        <v>55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ht="12.75">
      <c r="A77">
        <f>ROW(Source!A34)</f>
        <v>34</v>
      </c>
      <c r="B77">
        <v>27030165</v>
      </c>
      <c r="C77">
        <v>27030151</v>
      </c>
      <c r="D77">
        <v>24305712</v>
      </c>
      <c r="E77">
        <v>1</v>
      </c>
      <c r="F77">
        <v>1</v>
      </c>
      <c r="G77">
        <v>1</v>
      </c>
      <c r="H77">
        <v>3</v>
      </c>
      <c r="I77" t="s">
        <v>421</v>
      </c>
      <c r="J77" t="s">
        <v>422</v>
      </c>
      <c r="K77" t="s">
        <v>423</v>
      </c>
      <c r="L77">
        <v>1327</v>
      </c>
      <c r="N77">
        <v>1005</v>
      </c>
      <c r="O77" t="s">
        <v>348</v>
      </c>
      <c r="P77" t="s">
        <v>348</v>
      </c>
      <c r="Q77">
        <v>1</v>
      </c>
      <c r="X77">
        <v>2.77</v>
      </c>
      <c r="Y77">
        <v>28.25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46</v>
      </c>
      <c r="AG77">
        <v>5.54</v>
      </c>
      <c r="AH77">
        <v>2</v>
      </c>
      <c r="AI77">
        <v>27030157</v>
      </c>
      <c r="AJ77">
        <v>56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ht="12.75">
      <c r="A78">
        <f>ROW(Source!A34)</f>
        <v>34</v>
      </c>
      <c r="B78">
        <v>27030166</v>
      </c>
      <c r="C78">
        <v>27030151</v>
      </c>
      <c r="D78">
        <v>24308255</v>
      </c>
      <c r="E78">
        <v>1</v>
      </c>
      <c r="F78">
        <v>1</v>
      </c>
      <c r="G78">
        <v>1</v>
      </c>
      <c r="H78">
        <v>3</v>
      </c>
      <c r="I78" t="s">
        <v>433</v>
      </c>
      <c r="J78" t="s">
        <v>434</v>
      </c>
      <c r="K78" t="s">
        <v>435</v>
      </c>
      <c r="L78">
        <v>1339</v>
      </c>
      <c r="N78">
        <v>1007</v>
      </c>
      <c r="O78" t="s">
        <v>377</v>
      </c>
      <c r="P78" t="s">
        <v>377</v>
      </c>
      <c r="Q78">
        <v>1</v>
      </c>
      <c r="X78">
        <v>1.51</v>
      </c>
      <c r="Y78">
        <v>517.9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46</v>
      </c>
      <c r="AG78">
        <v>3.02</v>
      </c>
      <c r="AH78">
        <v>2</v>
      </c>
      <c r="AI78">
        <v>27030158</v>
      </c>
      <c r="AJ78">
        <v>57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ht="12.75">
      <c r="A79">
        <f>ROW(Source!A34)</f>
        <v>34</v>
      </c>
      <c r="B79">
        <v>27030167</v>
      </c>
      <c r="C79">
        <v>27030151</v>
      </c>
      <c r="D79">
        <v>24312272</v>
      </c>
      <c r="E79">
        <v>1</v>
      </c>
      <c r="F79">
        <v>1</v>
      </c>
      <c r="G79">
        <v>1</v>
      </c>
      <c r="H79">
        <v>3</v>
      </c>
      <c r="I79" t="s">
        <v>424</v>
      </c>
      <c r="J79" t="s">
        <v>425</v>
      </c>
      <c r="K79" t="s">
        <v>426</v>
      </c>
      <c r="L79">
        <v>1348</v>
      </c>
      <c r="N79">
        <v>1009</v>
      </c>
      <c r="O79" t="s">
        <v>203</v>
      </c>
      <c r="P79" t="s">
        <v>203</v>
      </c>
      <c r="Q79">
        <v>1000</v>
      </c>
      <c r="X79">
        <v>0.006</v>
      </c>
      <c r="Y79">
        <v>729.98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46</v>
      </c>
      <c r="AG79">
        <v>0.012</v>
      </c>
      <c r="AH79">
        <v>2</v>
      </c>
      <c r="AI79">
        <v>27030159</v>
      </c>
      <c r="AJ79">
        <v>58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ht="12.75">
      <c r="A80">
        <f>ROW(Source!A35)</f>
        <v>35</v>
      </c>
      <c r="B80">
        <v>26994979</v>
      </c>
      <c r="C80">
        <v>26994973</v>
      </c>
      <c r="D80">
        <v>9415152</v>
      </c>
      <c r="E80">
        <v>1</v>
      </c>
      <c r="F80">
        <v>1</v>
      </c>
      <c r="G80">
        <v>1</v>
      </c>
      <c r="H80">
        <v>1</v>
      </c>
      <c r="I80" t="s">
        <v>416</v>
      </c>
      <c r="K80" t="s">
        <v>417</v>
      </c>
      <c r="L80">
        <v>1369</v>
      </c>
      <c r="N80">
        <v>1013</v>
      </c>
      <c r="O80" t="s">
        <v>323</v>
      </c>
      <c r="P80" t="s">
        <v>323</v>
      </c>
      <c r="Q80">
        <v>1</v>
      </c>
      <c r="X80">
        <v>273.6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G80">
        <v>273.6</v>
      </c>
      <c r="AH80">
        <v>2</v>
      </c>
      <c r="AI80">
        <v>26994974</v>
      </c>
      <c r="AJ80">
        <v>59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ht="12.75">
      <c r="A81">
        <f>ROW(Source!A35)</f>
        <v>35</v>
      </c>
      <c r="B81">
        <v>26994980</v>
      </c>
      <c r="C81">
        <v>26994973</v>
      </c>
      <c r="D81">
        <v>121548</v>
      </c>
      <c r="E81">
        <v>1</v>
      </c>
      <c r="F81">
        <v>1</v>
      </c>
      <c r="G81">
        <v>1</v>
      </c>
      <c r="H81">
        <v>1</v>
      </c>
      <c r="I81" t="s">
        <v>26</v>
      </c>
      <c r="K81" t="s">
        <v>358</v>
      </c>
      <c r="L81">
        <v>608254</v>
      </c>
      <c r="N81">
        <v>1013</v>
      </c>
      <c r="O81" t="s">
        <v>359</v>
      </c>
      <c r="P81" t="s">
        <v>359</v>
      </c>
      <c r="Q81">
        <v>1</v>
      </c>
      <c r="X81">
        <v>50.78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2</v>
      </c>
      <c r="AG81">
        <v>50.78</v>
      </c>
      <c r="AH81">
        <v>2</v>
      </c>
      <c r="AI81">
        <v>26994975</v>
      </c>
      <c r="AJ81">
        <v>60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ht="12.75">
      <c r="A82">
        <f>ROW(Source!A35)</f>
        <v>35</v>
      </c>
      <c r="B82">
        <v>26994981</v>
      </c>
      <c r="C82">
        <v>26994973</v>
      </c>
      <c r="D82">
        <v>21284566</v>
      </c>
      <c r="E82">
        <v>1</v>
      </c>
      <c r="F82">
        <v>1</v>
      </c>
      <c r="G82">
        <v>1</v>
      </c>
      <c r="H82">
        <v>2</v>
      </c>
      <c r="I82" t="s">
        <v>436</v>
      </c>
      <c r="J82" t="s">
        <v>437</v>
      </c>
      <c r="K82" t="s">
        <v>438</v>
      </c>
      <c r="L82">
        <v>1368</v>
      </c>
      <c r="N82">
        <v>1011</v>
      </c>
      <c r="O82" t="s">
        <v>327</v>
      </c>
      <c r="P82" t="s">
        <v>327</v>
      </c>
      <c r="Q82">
        <v>1</v>
      </c>
      <c r="X82">
        <v>14.82</v>
      </c>
      <c r="Y82">
        <v>0</v>
      </c>
      <c r="Z82">
        <v>89.99</v>
      </c>
      <c r="AA82">
        <v>10.06</v>
      </c>
      <c r="AB82">
        <v>0</v>
      </c>
      <c r="AC82">
        <v>0</v>
      </c>
      <c r="AD82">
        <v>1</v>
      </c>
      <c r="AE82">
        <v>0</v>
      </c>
      <c r="AG82">
        <v>14.82</v>
      </c>
      <c r="AH82">
        <v>2</v>
      </c>
      <c r="AI82">
        <v>26994976</v>
      </c>
      <c r="AJ82">
        <v>61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ht="12.75">
      <c r="A83">
        <f>ROW(Source!A35)</f>
        <v>35</v>
      </c>
      <c r="B83">
        <v>26994982</v>
      </c>
      <c r="C83">
        <v>26994973</v>
      </c>
      <c r="D83">
        <v>21321317</v>
      </c>
      <c r="E83">
        <v>1</v>
      </c>
      <c r="F83">
        <v>1</v>
      </c>
      <c r="G83">
        <v>1</v>
      </c>
      <c r="H83">
        <v>2</v>
      </c>
      <c r="I83" t="s">
        <v>439</v>
      </c>
      <c r="J83" t="s">
        <v>440</v>
      </c>
      <c r="K83" t="s">
        <v>441</v>
      </c>
      <c r="L83">
        <v>1368</v>
      </c>
      <c r="N83">
        <v>1011</v>
      </c>
      <c r="O83" t="s">
        <v>327</v>
      </c>
      <c r="P83" t="s">
        <v>327</v>
      </c>
      <c r="Q83">
        <v>1</v>
      </c>
      <c r="X83">
        <v>35.96</v>
      </c>
      <c r="Y83">
        <v>0</v>
      </c>
      <c r="Z83">
        <v>16.31</v>
      </c>
      <c r="AA83">
        <v>10.06</v>
      </c>
      <c r="AB83">
        <v>0</v>
      </c>
      <c r="AC83">
        <v>0</v>
      </c>
      <c r="AD83">
        <v>1</v>
      </c>
      <c r="AE83">
        <v>0</v>
      </c>
      <c r="AG83">
        <v>35.96</v>
      </c>
      <c r="AH83">
        <v>2</v>
      </c>
      <c r="AI83">
        <v>26994977</v>
      </c>
      <c r="AJ83">
        <v>62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ht="12.75">
      <c r="A84">
        <f>ROW(Source!A35)</f>
        <v>35</v>
      </c>
      <c r="B84">
        <v>26994983</v>
      </c>
      <c r="C84">
        <v>26994973</v>
      </c>
      <c r="D84">
        <v>21321110</v>
      </c>
      <c r="E84">
        <v>1</v>
      </c>
      <c r="F84">
        <v>1</v>
      </c>
      <c r="G84">
        <v>1</v>
      </c>
      <c r="H84">
        <v>3</v>
      </c>
      <c r="I84" t="s">
        <v>644</v>
      </c>
      <c r="J84" t="s">
        <v>645</v>
      </c>
      <c r="K84" t="s">
        <v>646</v>
      </c>
      <c r="L84">
        <v>1348</v>
      </c>
      <c r="N84">
        <v>1009</v>
      </c>
      <c r="O84" t="s">
        <v>203</v>
      </c>
      <c r="P84" t="s">
        <v>203</v>
      </c>
      <c r="Q84">
        <v>1000</v>
      </c>
      <c r="X84">
        <v>20.4</v>
      </c>
      <c r="Y84">
        <v>313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G84">
        <v>20.4</v>
      </c>
      <c r="AH84">
        <v>3</v>
      </c>
      <c r="AI84">
        <v>-1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ht="12.75">
      <c r="A85">
        <f>ROW(Source!A35)</f>
        <v>35</v>
      </c>
      <c r="B85">
        <v>26994984</v>
      </c>
      <c r="C85">
        <v>26994973</v>
      </c>
      <c r="D85">
        <v>21315586</v>
      </c>
      <c r="E85">
        <v>1</v>
      </c>
      <c r="F85">
        <v>1</v>
      </c>
      <c r="G85">
        <v>1</v>
      </c>
      <c r="H85">
        <v>3</v>
      </c>
      <c r="I85" t="s">
        <v>647</v>
      </c>
      <c r="J85" t="s">
        <v>648</v>
      </c>
      <c r="K85" t="s">
        <v>649</v>
      </c>
      <c r="L85">
        <v>1348</v>
      </c>
      <c r="N85">
        <v>1009</v>
      </c>
      <c r="O85" t="s">
        <v>203</v>
      </c>
      <c r="P85" t="s">
        <v>203</v>
      </c>
      <c r="Q85">
        <v>1000</v>
      </c>
      <c r="X85">
        <v>14</v>
      </c>
      <c r="Y85">
        <v>734.5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G85">
        <v>14</v>
      </c>
      <c r="AH85">
        <v>3</v>
      </c>
      <c r="AI85">
        <v>-1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ht="12.75">
      <c r="A86">
        <f>ROW(Source!A35)</f>
        <v>35</v>
      </c>
      <c r="B86">
        <v>26994985</v>
      </c>
      <c r="C86">
        <v>26994973</v>
      </c>
      <c r="D86">
        <v>21287023</v>
      </c>
      <c r="E86">
        <v>1</v>
      </c>
      <c r="F86">
        <v>1</v>
      </c>
      <c r="G86">
        <v>1</v>
      </c>
      <c r="H86">
        <v>3</v>
      </c>
      <c r="I86" t="s">
        <v>650</v>
      </c>
      <c r="J86" t="s">
        <v>651</v>
      </c>
      <c r="K86" t="s">
        <v>652</v>
      </c>
      <c r="L86">
        <v>1339</v>
      </c>
      <c r="N86">
        <v>1007</v>
      </c>
      <c r="O86" t="s">
        <v>377</v>
      </c>
      <c r="P86" t="s">
        <v>377</v>
      </c>
      <c r="Q86">
        <v>1</v>
      </c>
      <c r="X86">
        <v>110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G86">
        <v>110</v>
      </c>
      <c r="AH86">
        <v>3</v>
      </c>
      <c r="AI86">
        <v>-1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ht="12.75">
      <c r="A87">
        <f>ROW(Source!A35)</f>
        <v>35</v>
      </c>
      <c r="B87">
        <v>26994986</v>
      </c>
      <c r="C87">
        <v>26994973</v>
      </c>
      <c r="D87">
        <v>21281662</v>
      </c>
      <c r="E87">
        <v>1</v>
      </c>
      <c r="F87">
        <v>1</v>
      </c>
      <c r="G87">
        <v>1</v>
      </c>
      <c r="H87">
        <v>3</v>
      </c>
      <c r="I87" t="s">
        <v>641</v>
      </c>
      <c r="J87" t="s">
        <v>653</v>
      </c>
      <c r="K87" t="s">
        <v>643</v>
      </c>
      <c r="L87">
        <v>1339</v>
      </c>
      <c r="N87">
        <v>1007</v>
      </c>
      <c r="O87" t="s">
        <v>377</v>
      </c>
      <c r="P87" t="s">
        <v>377</v>
      </c>
      <c r="Q87">
        <v>1</v>
      </c>
      <c r="X87">
        <v>66</v>
      </c>
      <c r="Y87">
        <v>2.44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G87">
        <v>66</v>
      </c>
      <c r="AH87">
        <v>3</v>
      </c>
      <c r="AI87">
        <v>-1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ht="12.75">
      <c r="A88">
        <f>ROW(Source!A36)</f>
        <v>36</v>
      </c>
      <c r="B88">
        <v>26994997</v>
      </c>
      <c r="C88">
        <v>26994987</v>
      </c>
      <c r="D88">
        <v>9416110</v>
      </c>
      <c r="E88">
        <v>1</v>
      </c>
      <c r="F88">
        <v>1</v>
      </c>
      <c r="G88">
        <v>1</v>
      </c>
      <c r="H88">
        <v>1</v>
      </c>
      <c r="I88" t="s">
        <v>443</v>
      </c>
      <c r="K88" t="s">
        <v>444</v>
      </c>
      <c r="L88">
        <v>1369</v>
      </c>
      <c r="N88">
        <v>1013</v>
      </c>
      <c r="O88" t="s">
        <v>323</v>
      </c>
      <c r="P88" t="s">
        <v>323</v>
      </c>
      <c r="Q88">
        <v>1</v>
      </c>
      <c r="X88">
        <v>159.67</v>
      </c>
      <c r="Y88">
        <v>0</v>
      </c>
      <c r="Z88">
        <v>0</v>
      </c>
      <c r="AA88">
        <v>0</v>
      </c>
      <c r="AB88">
        <v>127.7</v>
      </c>
      <c r="AC88">
        <v>0</v>
      </c>
      <c r="AD88">
        <v>1</v>
      </c>
      <c r="AE88">
        <v>1</v>
      </c>
      <c r="AF88" t="s">
        <v>18</v>
      </c>
      <c r="AG88">
        <v>183.62049999999996</v>
      </c>
      <c r="AH88">
        <v>2</v>
      </c>
      <c r="AI88">
        <v>26994988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ht="12.75">
      <c r="A89">
        <f>ROW(Source!A36)</f>
        <v>36</v>
      </c>
      <c r="B89">
        <v>26994998</v>
      </c>
      <c r="C89">
        <v>26994987</v>
      </c>
      <c r="D89">
        <v>121548</v>
      </c>
      <c r="E89">
        <v>1</v>
      </c>
      <c r="F89">
        <v>1</v>
      </c>
      <c r="G89">
        <v>1</v>
      </c>
      <c r="H89">
        <v>1</v>
      </c>
      <c r="I89" t="s">
        <v>26</v>
      </c>
      <c r="K89" t="s">
        <v>358</v>
      </c>
      <c r="L89">
        <v>608254</v>
      </c>
      <c r="N89">
        <v>1013</v>
      </c>
      <c r="O89" t="s">
        <v>359</v>
      </c>
      <c r="P89" t="s">
        <v>359</v>
      </c>
      <c r="Q89">
        <v>1</v>
      </c>
      <c r="X89">
        <v>1.65</v>
      </c>
      <c r="Y89">
        <v>0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2</v>
      </c>
      <c r="AF89" t="s">
        <v>17</v>
      </c>
      <c r="AG89">
        <v>2.0625</v>
      </c>
      <c r="AH89">
        <v>2</v>
      </c>
      <c r="AI89">
        <v>26994989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ht="12.75">
      <c r="A90">
        <f>ROW(Source!A36)</f>
        <v>36</v>
      </c>
      <c r="B90">
        <v>26994999</v>
      </c>
      <c r="C90">
        <v>26994987</v>
      </c>
      <c r="D90">
        <v>24265924</v>
      </c>
      <c r="E90">
        <v>1</v>
      </c>
      <c r="F90">
        <v>1</v>
      </c>
      <c r="G90">
        <v>1</v>
      </c>
      <c r="H90">
        <v>2</v>
      </c>
      <c r="I90" t="s">
        <v>436</v>
      </c>
      <c r="J90" t="s">
        <v>445</v>
      </c>
      <c r="K90" t="s">
        <v>438</v>
      </c>
      <c r="L90">
        <v>1368</v>
      </c>
      <c r="N90">
        <v>1011</v>
      </c>
      <c r="O90" t="s">
        <v>327</v>
      </c>
      <c r="P90" t="s">
        <v>327</v>
      </c>
      <c r="Q90">
        <v>1</v>
      </c>
      <c r="X90">
        <v>0.08</v>
      </c>
      <c r="Y90">
        <v>0</v>
      </c>
      <c r="Z90">
        <v>456.54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17</v>
      </c>
      <c r="AG90">
        <v>0.1</v>
      </c>
      <c r="AH90">
        <v>2</v>
      </c>
      <c r="AI90">
        <v>26994990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ht="12.75">
      <c r="A91">
        <f>ROW(Source!A36)</f>
        <v>36</v>
      </c>
      <c r="B91">
        <v>26995000</v>
      </c>
      <c r="C91">
        <v>26994987</v>
      </c>
      <c r="D91">
        <v>24312004</v>
      </c>
      <c r="E91">
        <v>1</v>
      </c>
      <c r="F91">
        <v>1</v>
      </c>
      <c r="G91">
        <v>1</v>
      </c>
      <c r="H91">
        <v>2</v>
      </c>
      <c r="I91" t="s">
        <v>389</v>
      </c>
      <c r="J91" t="s">
        <v>390</v>
      </c>
      <c r="K91" t="s">
        <v>391</v>
      </c>
      <c r="L91">
        <v>1368</v>
      </c>
      <c r="N91">
        <v>1011</v>
      </c>
      <c r="O91" t="s">
        <v>327</v>
      </c>
      <c r="P91" t="s">
        <v>327</v>
      </c>
      <c r="Q91">
        <v>1</v>
      </c>
      <c r="X91">
        <v>0.27</v>
      </c>
      <c r="Y91">
        <v>0</v>
      </c>
      <c r="Z91">
        <v>206.54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17</v>
      </c>
      <c r="AG91">
        <v>0.3375</v>
      </c>
      <c r="AH91">
        <v>2</v>
      </c>
      <c r="AI91">
        <v>26994991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ht="12.75">
      <c r="A92">
        <f>ROW(Source!A36)</f>
        <v>36</v>
      </c>
      <c r="B92">
        <v>26995001</v>
      </c>
      <c r="C92">
        <v>26994987</v>
      </c>
      <c r="D92">
        <v>24313971</v>
      </c>
      <c r="E92">
        <v>1</v>
      </c>
      <c r="F92">
        <v>1</v>
      </c>
      <c r="G92">
        <v>1</v>
      </c>
      <c r="H92">
        <v>2</v>
      </c>
      <c r="I92" t="s">
        <v>446</v>
      </c>
      <c r="J92" t="s">
        <v>447</v>
      </c>
      <c r="K92" t="s">
        <v>448</v>
      </c>
      <c r="L92">
        <v>1368</v>
      </c>
      <c r="N92">
        <v>1011</v>
      </c>
      <c r="O92" t="s">
        <v>327</v>
      </c>
      <c r="P92" t="s">
        <v>327</v>
      </c>
      <c r="Q92">
        <v>1</v>
      </c>
      <c r="X92">
        <v>1.3</v>
      </c>
      <c r="Y92">
        <v>0</v>
      </c>
      <c r="Z92">
        <v>126.67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17</v>
      </c>
      <c r="AG92">
        <v>1.625</v>
      </c>
      <c r="AH92">
        <v>2</v>
      </c>
      <c r="AI92">
        <v>26994992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ht="12.75">
      <c r="A93">
        <f>ROW(Source!A36)</f>
        <v>36</v>
      </c>
      <c r="B93">
        <v>26995002</v>
      </c>
      <c r="C93">
        <v>26994987</v>
      </c>
      <c r="D93">
        <v>24512262</v>
      </c>
      <c r="E93">
        <v>1</v>
      </c>
      <c r="F93">
        <v>1</v>
      </c>
      <c r="G93">
        <v>1</v>
      </c>
      <c r="H93">
        <v>3</v>
      </c>
      <c r="I93" t="s">
        <v>449</v>
      </c>
      <c r="J93" t="s">
        <v>450</v>
      </c>
      <c r="K93" t="s">
        <v>451</v>
      </c>
      <c r="L93">
        <v>1327</v>
      </c>
      <c r="N93">
        <v>1005</v>
      </c>
      <c r="O93" t="s">
        <v>348</v>
      </c>
      <c r="P93" t="s">
        <v>348</v>
      </c>
      <c r="Q93">
        <v>1</v>
      </c>
      <c r="X93">
        <v>100</v>
      </c>
      <c r="Y93">
        <v>327.97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G93">
        <v>100</v>
      </c>
      <c r="AH93">
        <v>2</v>
      </c>
      <c r="AI93">
        <v>26994993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ht="12.75">
      <c r="A94">
        <f>ROW(Source!A36)</f>
        <v>36</v>
      </c>
      <c r="B94">
        <v>26995003</v>
      </c>
      <c r="C94">
        <v>26994987</v>
      </c>
      <c r="D94">
        <v>24302728</v>
      </c>
      <c r="E94">
        <v>1</v>
      </c>
      <c r="F94">
        <v>1</v>
      </c>
      <c r="G94">
        <v>1</v>
      </c>
      <c r="H94">
        <v>3</v>
      </c>
      <c r="I94" t="s">
        <v>392</v>
      </c>
      <c r="J94" t="s">
        <v>393</v>
      </c>
      <c r="K94" t="s">
        <v>394</v>
      </c>
      <c r="L94">
        <v>1346</v>
      </c>
      <c r="N94">
        <v>1009</v>
      </c>
      <c r="O94" t="s">
        <v>341</v>
      </c>
      <c r="P94" t="s">
        <v>341</v>
      </c>
      <c r="Q94">
        <v>1</v>
      </c>
      <c r="X94">
        <v>0.5</v>
      </c>
      <c r="Y94">
        <v>35.59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G94">
        <v>0.5</v>
      </c>
      <c r="AH94">
        <v>2</v>
      </c>
      <c r="AI94">
        <v>26994994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ht="12.75">
      <c r="A95">
        <f>ROW(Source!A36)</f>
        <v>36</v>
      </c>
      <c r="B95">
        <v>26995004</v>
      </c>
      <c r="C95">
        <v>26994987</v>
      </c>
      <c r="D95">
        <v>24754164</v>
      </c>
      <c r="E95">
        <v>1</v>
      </c>
      <c r="F95">
        <v>1</v>
      </c>
      <c r="G95">
        <v>1</v>
      </c>
      <c r="H95">
        <v>3</v>
      </c>
      <c r="I95" t="s">
        <v>452</v>
      </c>
      <c r="J95" t="s">
        <v>453</v>
      </c>
      <c r="K95" t="s">
        <v>454</v>
      </c>
      <c r="L95">
        <v>1348</v>
      </c>
      <c r="N95">
        <v>1009</v>
      </c>
      <c r="O95" t="s">
        <v>203</v>
      </c>
      <c r="P95" t="s">
        <v>203</v>
      </c>
      <c r="Q95">
        <v>1000</v>
      </c>
      <c r="X95">
        <v>0.375</v>
      </c>
      <c r="Y95">
        <v>10338.98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G95">
        <v>0.375</v>
      </c>
      <c r="AH95">
        <v>2</v>
      </c>
      <c r="AI95">
        <v>26994995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ht="12.75">
      <c r="A96">
        <f>ROW(Source!A36)</f>
        <v>36</v>
      </c>
      <c r="B96">
        <v>26995005</v>
      </c>
      <c r="C96">
        <v>26994987</v>
      </c>
      <c r="D96">
        <v>24786573</v>
      </c>
      <c r="E96">
        <v>1</v>
      </c>
      <c r="F96">
        <v>1</v>
      </c>
      <c r="G96">
        <v>1</v>
      </c>
      <c r="H96">
        <v>3</v>
      </c>
      <c r="I96" t="s">
        <v>455</v>
      </c>
      <c r="J96" t="s">
        <v>456</v>
      </c>
      <c r="K96" t="s">
        <v>457</v>
      </c>
      <c r="L96">
        <v>1348</v>
      </c>
      <c r="N96">
        <v>1009</v>
      </c>
      <c r="O96" t="s">
        <v>203</v>
      </c>
      <c r="P96" t="s">
        <v>203</v>
      </c>
      <c r="Q96">
        <v>1000</v>
      </c>
      <c r="X96">
        <v>0.05</v>
      </c>
      <c r="Y96">
        <v>55084.75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G96">
        <v>0.05</v>
      </c>
      <c r="AH96">
        <v>2</v>
      </c>
      <c r="AI96">
        <v>26994996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ht="12.75">
      <c r="A97">
        <f>ROW(Source!A36)</f>
        <v>36</v>
      </c>
      <c r="B97">
        <v>26995006</v>
      </c>
      <c r="C97">
        <v>26994987</v>
      </c>
      <c r="D97">
        <v>24262983</v>
      </c>
      <c r="E97">
        <v>1</v>
      </c>
      <c r="F97">
        <v>1</v>
      </c>
      <c r="G97">
        <v>1</v>
      </c>
      <c r="H97">
        <v>3</v>
      </c>
      <c r="I97" t="s">
        <v>641</v>
      </c>
      <c r="J97" t="s">
        <v>642</v>
      </c>
      <c r="K97" t="s">
        <v>643</v>
      </c>
      <c r="L97">
        <v>1339</v>
      </c>
      <c r="N97">
        <v>1007</v>
      </c>
      <c r="O97" t="s">
        <v>377</v>
      </c>
      <c r="P97" t="s">
        <v>377</v>
      </c>
      <c r="Q97">
        <v>1</v>
      </c>
      <c r="X97">
        <v>0.93</v>
      </c>
      <c r="Y97">
        <v>2.44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G97">
        <v>0.93</v>
      </c>
      <c r="AH97">
        <v>3</v>
      </c>
      <c r="AI97">
        <v>-1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ht="12.75">
      <c r="A98">
        <f>ROW(Source!A37)</f>
        <v>37</v>
      </c>
      <c r="B98">
        <v>26995014</v>
      </c>
      <c r="C98">
        <v>26995007</v>
      </c>
      <c r="D98">
        <v>9415352</v>
      </c>
      <c r="E98">
        <v>1</v>
      </c>
      <c r="F98">
        <v>1</v>
      </c>
      <c r="G98">
        <v>1</v>
      </c>
      <c r="H98">
        <v>1</v>
      </c>
      <c r="I98" t="s">
        <v>387</v>
      </c>
      <c r="K98" t="s">
        <v>388</v>
      </c>
      <c r="L98">
        <v>1369</v>
      </c>
      <c r="N98">
        <v>1013</v>
      </c>
      <c r="O98" t="s">
        <v>323</v>
      </c>
      <c r="P98" t="s">
        <v>323</v>
      </c>
      <c r="Q98">
        <v>1</v>
      </c>
      <c r="X98">
        <v>6.55</v>
      </c>
      <c r="Y98">
        <v>0</v>
      </c>
      <c r="Z98">
        <v>0</v>
      </c>
      <c r="AA98">
        <v>0</v>
      </c>
      <c r="AB98">
        <v>9.62</v>
      </c>
      <c r="AC98">
        <v>0</v>
      </c>
      <c r="AD98">
        <v>1</v>
      </c>
      <c r="AE98">
        <v>1</v>
      </c>
      <c r="AF98" t="s">
        <v>18</v>
      </c>
      <c r="AG98">
        <v>7.532499999999999</v>
      </c>
      <c r="AH98">
        <v>2</v>
      </c>
      <c r="AI98">
        <v>26995008</v>
      </c>
      <c r="AJ98">
        <v>73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ht="12.75">
      <c r="A99">
        <f>ROW(Source!A37)</f>
        <v>37</v>
      </c>
      <c r="B99">
        <v>26995015</v>
      </c>
      <c r="C99">
        <v>26995007</v>
      </c>
      <c r="D99">
        <v>121548</v>
      </c>
      <c r="E99">
        <v>1</v>
      </c>
      <c r="F99">
        <v>1</v>
      </c>
      <c r="G99">
        <v>1</v>
      </c>
      <c r="H99">
        <v>1</v>
      </c>
      <c r="I99" t="s">
        <v>26</v>
      </c>
      <c r="K99" t="s">
        <v>358</v>
      </c>
      <c r="L99">
        <v>608254</v>
      </c>
      <c r="N99">
        <v>1013</v>
      </c>
      <c r="O99" t="s">
        <v>359</v>
      </c>
      <c r="P99" t="s">
        <v>359</v>
      </c>
      <c r="Q99">
        <v>1</v>
      </c>
      <c r="X99">
        <v>0.01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17</v>
      </c>
      <c r="AG99">
        <v>0.0125</v>
      </c>
      <c r="AH99">
        <v>2</v>
      </c>
      <c r="AI99">
        <v>26995009</v>
      </c>
      <c r="AJ99">
        <v>74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ht="12.75">
      <c r="A100">
        <f>ROW(Source!A37)</f>
        <v>37</v>
      </c>
      <c r="B100">
        <v>26995016</v>
      </c>
      <c r="C100">
        <v>26995007</v>
      </c>
      <c r="D100">
        <v>21330172</v>
      </c>
      <c r="E100">
        <v>1</v>
      </c>
      <c r="F100">
        <v>1</v>
      </c>
      <c r="G100">
        <v>1</v>
      </c>
      <c r="H100">
        <v>2</v>
      </c>
      <c r="I100" t="s">
        <v>389</v>
      </c>
      <c r="J100" t="s">
        <v>410</v>
      </c>
      <c r="K100" t="s">
        <v>391</v>
      </c>
      <c r="L100">
        <v>1368</v>
      </c>
      <c r="N100">
        <v>1011</v>
      </c>
      <c r="O100" t="s">
        <v>327</v>
      </c>
      <c r="P100" t="s">
        <v>327</v>
      </c>
      <c r="Q100">
        <v>1</v>
      </c>
      <c r="X100">
        <v>0.01</v>
      </c>
      <c r="Y100">
        <v>0</v>
      </c>
      <c r="Z100">
        <v>31.26</v>
      </c>
      <c r="AA100">
        <v>11.6</v>
      </c>
      <c r="AB100">
        <v>0</v>
      </c>
      <c r="AC100">
        <v>0</v>
      </c>
      <c r="AD100">
        <v>1</v>
      </c>
      <c r="AE100">
        <v>0</v>
      </c>
      <c r="AF100" t="s">
        <v>17</v>
      </c>
      <c r="AG100">
        <v>0.0125</v>
      </c>
      <c r="AH100">
        <v>2</v>
      </c>
      <c r="AI100">
        <v>26995010</v>
      </c>
      <c r="AJ100">
        <v>75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ht="12.75">
      <c r="A101">
        <f>ROW(Source!A37)</f>
        <v>37</v>
      </c>
      <c r="B101">
        <v>26995017</v>
      </c>
      <c r="C101">
        <v>26995007</v>
      </c>
      <c r="D101">
        <v>21280770</v>
      </c>
      <c r="E101">
        <v>1</v>
      </c>
      <c r="F101">
        <v>1</v>
      </c>
      <c r="G101">
        <v>1</v>
      </c>
      <c r="H101">
        <v>2</v>
      </c>
      <c r="I101" t="s">
        <v>371</v>
      </c>
      <c r="J101" t="s">
        <v>458</v>
      </c>
      <c r="K101" t="s">
        <v>373</v>
      </c>
      <c r="L101">
        <v>1368</v>
      </c>
      <c r="N101">
        <v>1011</v>
      </c>
      <c r="O101" t="s">
        <v>327</v>
      </c>
      <c r="P101" t="s">
        <v>327</v>
      </c>
      <c r="Q101">
        <v>1</v>
      </c>
      <c r="X101">
        <v>0.01</v>
      </c>
      <c r="Y101">
        <v>0</v>
      </c>
      <c r="Z101">
        <v>87.17</v>
      </c>
      <c r="AA101">
        <v>11.6</v>
      </c>
      <c r="AB101">
        <v>0</v>
      </c>
      <c r="AC101">
        <v>0</v>
      </c>
      <c r="AD101">
        <v>1</v>
      </c>
      <c r="AE101">
        <v>0</v>
      </c>
      <c r="AF101" t="s">
        <v>17</v>
      </c>
      <c r="AG101">
        <v>0.0125</v>
      </c>
      <c r="AH101">
        <v>2</v>
      </c>
      <c r="AI101">
        <v>26995011</v>
      </c>
      <c r="AJ101">
        <v>76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ht="12.75">
      <c r="A102">
        <f>ROW(Source!A37)</f>
        <v>37</v>
      </c>
      <c r="B102">
        <v>26995018</v>
      </c>
      <c r="C102">
        <v>26995007</v>
      </c>
      <c r="D102">
        <v>21320836</v>
      </c>
      <c r="E102">
        <v>1</v>
      </c>
      <c r="F102">
        <v>1</v>
      </c>
      <c r="G102">
        <v>1</v>
      </c>
      <c r="H102">
        <v>3</v>
      </c>
      <c r="I102" t="s">
        <v>392</v>
      </c>
      <c r="J102" t="s">
        <v>411</v>
      </c>
      <c r="K102" t="s">
        <v>394</v>
      </c>
      <c r="L102">
        <v>1346</v>
      </c>
      <c r="N102">
        <v>1009</v>
      </c>
      <c r="O102" t="s">
        <v>341</v>
      </c>
      <c r="P102" t="s">
        <v>341</v>
      </c>
      <c r="Q102">
        <v>1</v>
      </c>
      <c r="X102">
        <v>0.1</v>
      </c>
      <c r="Y102">
        <v>1.82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G102">
        <v>0.1</v>
      </c>
      <c r="AH102">
        <v>2</v>
      </c>
      <c r="AI102">
        <v>26995012</v>
      </c>
      <c r="AJ102">
        <v>77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ht="12.75">
      <c r="A103">
        <f>ROW(Source!A37)</f>
        <v>37</v>
      </c>
      <c r="B103">
        <v>26995019</v>
      </c>
      <c r="C103">
        <v>26995007</v>
      </c>
      <c r="D103">
        <v>21345267</v>
      </c>
      <c r="E103">
        <v>1</v>
      </c>
      <c r="F103">
        <v>1</v>
      </c>
      <c r="G103">
        <v>1</v>
      </c>
      <c r="H103">
        <v>3</v>
      </c>
      <c r="I103" t="s">
        <v>395</v>
      </c>
      <c r="J103" t="s">
        <v>412</v>
      </c>
      <c r="K103" t="s">
        <v>397</v>
      </c>
      <c r="L103">
        <v>1348</v>
      </c>
      <c r="N103">
        <v>1009</v>
      </c>
      <c r="O103" t="s">
        <v>203</v>
      </c>
      <c r="P103" t="s">
        <v>203</v>
      </c>
      <c r="Q103">
        <v>1000</v>
      </c>
      <c r="X103">
        <v>0.013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G103">
        <v>0.013</v>
      </c>
      <c r="AH103">
        <v>2</v>
      </c>
      <c r="AI103">
        <v>26995013</v>
      </c>
      <c r="AJ103">
        <v>78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ht="12.75">
      <c r="A104">
        <f>ROW(Source!A38)</f>
        <v>38</v>
      </c>
      <c r="B104">
        <v>27030176</v>
      </c>
      <c r="C104">
        <v>27030168</v>
      </c>
      <c r="D104">
        <v>9416110</v>
      </c>
      <c r="E104">
        <v>1</v>
      </c>
      <c r="F104">
        <v>1</v>
      </c>
      <c r="G104">
        <v>1</v>
      </c>
      <c r="H104">
        <v>1</v>
      </c>
      <c r="I104" t="s">
        <v>443</v>
      </c>
      <c r="K104" t="s">
        <v>444</v>
      </c>
      <c r="L104">
        <v>1369</v>
      </c>
      <c r="N104">
        <v>1013</v>
      </c>
      <c r="O104" t="s">
        <v>323</v>
      </c>
      <c r="P104" t="s">
        <v>323</v>
      </c>
      <c r="Q104">
        <v>1</v>
      </c>
      <c r="X104">
        <v>51.89</v>
      </c>
      <c r="Y104">
        <v>0</v>
      </c>
      <c r="Z104">
        <v>0</v>
      </c>
      <c r="AA104">
        <v>0</v>
      </c>
      <c r="AB104">
        <v>9.18</v>
      </c>
      <c r="AC104">
        <v>0</v>
      </c>
      <c r="AD104">
        <v>1</v>
      </c>
      <c r="AE104">
        <v>1</v>
      </c>
      <c r="AF104" t="s">
        <v>18</v>
      </c>
      <c r="AG104">
        <v>59.6735</v>
      </c>
      <c r="AH104">
        <v>2</v>
      </c>
      <c r="AI104">
        <v>27030169</v>
      </c>
      <c r="AJ104">
        <v>79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ht="12.75">
      <c r="A105">
        <f>ROW(Source!A38)</f>
        <v>38</v>
      </c>
      <c r="B105">
        <v>27030177</v>
      </c>
      <c r="C105">
        <v>27030168</v>
      </c>
      <c r="D105">
        <v>121548</v>
      </c>
      <c r="E105">
        <v>1</v>
      </c>
      <c r="F105">
        <v>1</v>
      </c>
      <c r="G105">
        <v>1</v>
      </c>
      <c r="H105">
        <v>1</v>
      </c>
      <c r="I105" t="s">
        <v>26</v>
      </c>
      <c r="K105" t="s">
        <v>358</v>
      </c>
      <c r="L105">
        <v>608254</v>
      </c>
      <c r="N105">
        <v>1013</v>
      </c>
      <c r="O105" t="s">
        <v>359</v>
      </c>
      <c r="P105" t="s">
        <v>359</v>
      </c>
      <c r="Q105">
        <v>1</v>
      </c>
      <c r="X105">
        <v>1.87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2</v>
      </c>
      <c r="AF105" t="s">
        <v>17</v>
      </c>
      <c r="AG105">
        <v>2.3375000000000004</v>
      </c>
      <c r="AH105">
        <v>2</v>
      </c>
      <c r="AI105">
        <v>27030170</v>
      </c>
      <c r="AJ105">
        <v>80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ht="12.75">
      <c r="A106">
        <f>ROW(Source!A38)</f>
        <v>38</v>
      </c>
      <c r="B106">
        <v>27030178</v>
      </c>
      <c r="C106">
        <v>27030168</v>
      </c>
      <c r="D106">
        <v>24265924</v>
      </c>
      <c r="E106">
        <v>1</v>
      </c>
      <c r="F106">
        <v>1</v>
      </c>
      <c r="G106">
        <v>1</v>
      </c>
      <c r="H106">
        <v>2</v>
      </c>
      <c r="I106" t="s">
        <v>436</v>
      </c>
      <c r="J106" t="s">
        <v>445</v>
      </c>
      <c r="K106" t="s">
        <v>438</v>
      </c>
      <c r="L106">
        <v>1368</v>
      </c>
      <c r="N106">
        <v>1011</v>
      </c>
      <c r="O106" t="s">
        <v>327</v>
      </c>
      <c r="P106" t="s">
        <v>327</v>
      </c>
      <c r="Q106">
        <v>1</v>
      </c>
      <c r="X106">
        <v>0.04</v>
      </c>
      <c r="Y106">
        <v>0</v>
      </c>
      <c r="Z106">
        <v>89.99</v>
      </c>
      <c r="AA106">
        <v>10.06</v>
      </c>
      <c r="AB106">
        <v>0</v>
      </c>
      <c r="AC106">
        <v>0</v>
      </c>
      <c r="AD106">
        <v>1</v>
      </c>
      <c r="AE106">
        <v>0</v>
      </c>
      <c r="AF106" t="s">
        <v>17</v>
      </c>
      <c r="AG106">
        <v>0.05</v>
      </c>
      <c r="AH106">
        <v>2</v>
      </c>
      <c r="AI106">
        <v>27030171</v>
      </c>
      <c r="AJ106">
        <v>81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ht="12.75">
      <c r="A107">
        <f>ROW(Source!A38)</f>
        <v>38</v>
      </c>
      <c r="B107">
        <v>27030179</v>
      </c>
      <c r="C107">
        <v>27030168</v>
      </c>
      <c r="D107">
        <v>24312004</v>
      </c>
      <c r="E107">
        <v>1</v>
      </c>
      <c r="F107">
        <v>1</v>
      </c>
      <c r="G107">
        <v>1</v>
      </c>
      <c r="H107">
        <v>2</v>
      </c>
      <c r="I107" t="s">
        <v>389</v>
      </c>
      <c r="J107" t="s">
        <v>390</v>
      </c>
      <c r="K107" t="s">
        <v>391</v>
      </c>
      <c r="L107">
        <v>1368</v>
      </c>
      <c r="N107">
        <v>1011</v>
      </c>
      <c r="O107" t="s">
        <v>327</v>
      </c>
      <c r="P107" t="s">
        <v>327</v>
      </c>
      <c r="Q107">
        <v>1</v>
      </c>
      <c r="X107">
        <v>0.16</v>
      </c>
      <c r="Y107">
        <v>0</v>
      </c>
      <c r="Z107">
        <v>31.26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17</v>
      </c>
      <c r="AG107">
        <v>0.2</v>
      </c>
      <c r="AH107">
        <v>2</v>
      </c>
      <c r="AI107">
        <v>27030172</v>
      </c>
      <c r="AJ107">
        <v>82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ht="12.75">
      <c r="A108">
        <f>ROW(Source!A38)</f>
        <v>38</v>
      </c>
      <c r="B108">
        <v>27030180</v>
      </c>
      <c r="C108">
        <v>27030168</v>
      </c>
      <c r="D108">
        <v>24313971</v>
      </c>
      <c r="E108">
        <v>1</v>
      </c>
      <c r="F108">
        <v>1</v>
      </c>
      <c r="G108">
        <v>1</v>
      </c>
      <c r="H108">
        <v>2</v>
      </c>
      <c r="I108" t="s">
        <v>446</v>
      </c>
      <c r="J108" t="s">
        <v>447</v>
      </c>
      <c r="K108" t="s">
        <v>448</v>
      </c>
      <c r="L108">
        <v>1368</v>
      </c>
      <c r="N108">
        <v>1011</v>
      </c>
      <c r="O108" t="s">
        <v>327</v>
      </c>
      <c r="P108" t="s">
        <v>327</v>
      </c>
      <c r="Q108">
        <v>1</v>
      </c>
      <c r="X108">
        <v>1.67</v>
      </c>
      <c r="Y108">
        <v>0</v>
      </c>
      <c r="Z108">
        <v>12.39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17</v>
      </c>
      <c r="AG108">
        <v>2.0875</v>
      </c>
      <c r="AH108">
        <v>2</v>
      </c>
      <c r="AI108">
        <v>27030173</v>
      </c>
      <c r="AJ108">
        <v>83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ht="12.75">
      <c r="A109">
        <f>ROW(Source!A38)</f>
        <v>38</v>
      </c>
      <c r="B109">
        <v>27030181</v>
      </c>
      <c r="C109">
        <v>27030168</v>
      </c>
      <c r="D109">
        <v>24327390</v>
      </c>
      <c r="E109">
        <v>1</v>
      </c>
      <c r="F109">
        <v>1</v>
      </c>
      <c r="G109">
        <v>1</v>
      </c>
      <c r="H109">
        <v>3</v>
      </c>
      <c r="I109" t="s">
        <v>395</v>
      </c>
      <c r="J109" t="s">
        <v>396</v>
      </c>
      <c r="K109" t="s">
        <v>397</v>
      </c>
      <c r="L109">
        <v>1348</v>
      </c>
      <c r="N109">
        <v>1009</v>
      </c>
      <c r="O109" t="s">
        <v>203</v>
      </c>
      <c r="P109" t="s">
        <v>203</v>
      </c>
      <c r="Q109">
        <v>1000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</v>
      </c>
      <c r="AD109">
        <v>0</v>
      </c>
      <c r="AE109">
        <v>0</v>
      </c>
      <c r="AG109">
        <v>0</v>
      </c>
      <c r="AH109">
        <v>2</v>
      </c>
      <c r="AI109">
        <v>27030174</v>
      </c>
      <c r="AJ109">
        <v>84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ht="12.75">
      <c r="A110">
        <f>ROW(Source!A38)</f>
        <v>38</v>
      </c>
      <c r="B110">
        <v>27030182</v>
      </c>
      <c r="C110">
        <v>27030168</v>
      </c>
      <c r="D110">
        <v>24786572</v>
      </c>
      <c r="E110">
        <v>1</v>
      </c>
      <c r="F110">
        <v>1</v>
      </c>
      <c r="G110">
        <v>1</v>
      </c>
      <c r="H110">
        <v>3</v>
      </c>
      <c r="I110" t="s">
        <v>460</v>
      </c>
      <c r="J110" t="s">
        <v>461</v>
      </c>
      <c r="K110" t="s">
        <v>654</v>
      </c>
      <c r="L110">
        <v>1348</v>
      </c>
      <c r="N110">
        <v>1009</v>
      </c>
      <c r="O110" t="s">
        <v>203</v>
      </c>
      <c r="P110" t="s">
        <v>203</v>
      </c>
      <c r="Q110">
        <v>1000</v>
      </c>
      <c r="X110">
        <v>0.97</v>
      </c>
      <c r="Y110">
        <v>2500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G110">
        <v>0.97</v>
      </c>
      <c r="AH110">
        <v>2</v>
      </c>
      <c r="AI110">
        <v>27030175</v>
      </c>
      <c r="AJ110">
        <v>85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ht="12.75">
      <c r="A111">
        <f>ROW(Source!A38)</f>
        <v>38</v>
      </c>
      <c r="B111">
        <v>27030183</v>
      </c>
      <c r="C111">
        <v>27030168</v>
      </c>
      <c r="D111">
        <v>24262983</v>
      </c>
      <c r="E111">
        <v>1</v>
      </c>
      <c r="F111">
        <v>1</v>
      </c>
      <c r="G111">
        <v>1</v>
      </c>
      <c r="H111">
        <v>3</v>
      </c>
      <c r="I111" t="s">
        <v>641</v>
      </c>
      <c r="J111" t="s">
        <v>642</v>
      </c>
      <c r="K111" t="s">
        <v>643</v>
      </c>
      <c r="L111">
        <v>1339</v>
      </c>
      <c r="N111">
        <v>1007</v>
      </c>
      <c r="O111" t="s">
        <v>377</v>
      </c>
      <c r="P111" t="s">
        <v>377</v>
      </c>
      <c r="Q111">
        <v>1</v>
      </c>
      <c r="X111">
        <v>0.63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G111">
        <v>0.63</v>
      </c>
      <c r="AH111">
        <v>3</v>
      </c>
      <c r="AI111">
        <v>-1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ht="12.75">
      <c r="A112">
        <f>ROW(Source!A39)</f>
        <v>39</v>
      </c>
      <c r="B112">
        <v>26995040</v>
      </c>
      <c r="C112">
        <v>26995034</v>
      </c>
      <c r="D112">
        <v>9416104</v>
      </c>
      <c r="E112">
        <v>1</v>
      </c>
      <c r="F112">
        <v>1</v>
      </c>
      <c r="G112">
        <v>1</v>
      </c>
      <c r="H112">
        <v>1</v>
      </c>
      <c r="I112" t="s">
        <v>400</v>
      </c>
      <c r="K112" t="s">
        <v>401</v>
      </c>
      <c r="L112">
        <v>1369</v>
      </c>
      <c r="N112">
        <v>1013</v>
      </c>
      <c r="O112" t="s">
        <v>323</v>
      </c>
      <c r="P112" t="s">
        <v>323</v>
      </c>
      <c r="Q112">
        <v>1</v>
      </c>
      <c r="X112">
        <v>383.06</v>
      </c>
      <c r="Y112">
        <v>0</v>
      </c>
      <c r="Z112">
        <v>0</v>
      </c>
      <c r="AA112">
        <v>0</v>
      </c>
      <c r="AB112">
        <v>8.97</v>
      </c>
      <c r="AC112">
        <v>0</v>
      </c>
      <c r="AD112">
        <v>1</v>
      </c>
      <c r="AE112">
        <v>1</v>
      </c>
      <c r="AG112">
        <v>383.06</v>
      </c>
      <c r="AH112">
        <v>2</v>
      </c>
      <c r="AI112">
        <v>26995035</v>
      </c>
      <c r="AJ112">
        <v>86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ht="12.75">
      <c r="A113">
        <f>ROW(Source!A39)</f>
        <v>39</v>
      </c>
      <c r="B113">
        <v>26995041</v>
      </c>
      <c r="C113">
        <v>26995034</v>
      </c>
      <c r="D113">
        <v>121548</v>
      </c>
      <c r="E113">
        <v>1</v>
      </c>
      <c r="F113">
        <v>1</v>
      </c>
      <c r="G113">
        <v>1</v>
      </c>
      <c r="H113">
        <v>1</v>
      </c>
      <c r="I113" t="s">
        <v>26</v>
      </c>
      <c r="K113" t="s">
        <v>358</v>
      </c>
      <c r="L113">
        <v>608254</v>
      </c>
      <c r="N113">
        <v>1013</v>
      </c>
      <c r="O113" t="s">
        <v>359</v>
      </c>
      <c r="P113" t="s">
        <v>359</v>
      </c>
      <c r="Q113">
        <v>1</v>
      </c>
      <c r="X113">
        <v>1.16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2</v>
      </c>
      <c r="AG113">
        <v>1.16</v>
      </c>
      <c r="AH113">
        <v>2</v>
      </c>
      <c r="AI113">
        <v>26995036</v>
      </c>
      <c r="AJ113">
        <v>87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ht="12.75">
      <c r="A114">
        <f>ROW(Source!A39)</f>
        <v>39</v>
      </c>
      <c r="B114">
        <v>26995042</v>
      </c>
      <c r="C114">
        <v>26995034</v>
      </c>
      <c r="D114">
        <v>21330172</v>
      </c>
      <c r="E114">
        <v>1</v>
      </c>
      <c r="F114">
        <v>1</v>
      </c>
      <c r="G114">
        <v>1</v>
      </c>
      <c r="H114">
        <v>2</v>
      </c>
      <c r="I114" t="s">
        <v>389</v>
      </c>
      <c r="J114" t="s">
        <v>410</v>
      </c>
      <c r="K114" t="s">
        <v>391</v>
      </c>
      <c r="L114">
        <v>1368</v>
      </c>
      <c r="N114">
        <v>1011</v>
      </c>
      <c r="O114" t="s">
        <v>327</v>
      </c>
      <c r="P114" t="s">
        <v>327</v>
      </c>
      <c r="Q114">
        <v>1</v>
      </c>
      <c r="X114">
        <v>1.16</v>
      </c>
      <c r="Y114">
        <v>0</v>
      </c>
      <c r="Z114">
        <v>31.26</v>
      </c>
      <c r="AA114">
        <v>11.6</v>
      </c>
      <c r="AB114">
        <v>0</v>
      </c>
      <c r="AC114">
        <v>0</v>
      </c>
      <c r="AD114">
        <v>1</v>
      </c>
      <c r="AE114">
        <v>0</v>
      </c>
      <c r="AG114">
        <v>1.16</v>
      </c>
      <c r="AH114">
        <v>2</v>
      </c>
      <c r="AI114">
        <v>26995037</v>
      </c>
      <c r="AJ114">
        <v>88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ht="12.75">
      <c r="A115">
        <f>ROW(Source!A39)</f>
        <v>39</v>
      </c>
      <c r="B115">
        <v>26995043</v>
      </c>
      <c r="C115">
        <v>26995034</v>
      </c>
      <c r="D115">
        <v>21326426</v>
      </c>
      <c r="E115">
        <v>1</v>
      </c>
      <c r="F115">
        <v>1</v>
      </c>
      <c r="G115">
        <v>1</v>
      </c>
      <c r="H115">
        <v>3</v>
      </c>
      <c r="I115" t="s">
        <v>433</v>
      </c>
      <c r="J115" t="s">
        <v>463</v>
      </c>
      <c r="K115" t="s">
        <v>435</v>
      </c>
      <c r="L115">
        <v>1339</v>
      </c>
      <c r="N115">
        <v>1007</v>
      </c>
      <c r="O115" t="s">
        <v>377</v>
      </c>
      <c r="P115" t="s">
        <v>377</v>
      </c>
      <c r="Q115">
        <v>1</v>
      </c>
      <c r="X115">
        <v>4.4</v>
      </c>
      <c r="Y115">
        <v>517.9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G115">
        <v>4.4</v>
      </c>
      <c r="AH115">
        <v>2</v>
      </c>
      <c r="AI115">
        <v>26995038</v>
      </c>
      <c r="AJ115">
        <v>89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ht="12.75">
      <c r="A116">
        <f>ROW(Source!A39)</f>
        <v>39</v>
      </c>
      <c r="B116">
        <v>26995044</v>
      </c>
      <c r="C116">
        <v>26995034</v>
      </c>
      <c r="D116">
        <v>21281662</v>
      </c>
      <c r="E116">
        <v>1</v>
      </c>
      <c r="F116">
        <v>1</v>
      </c>
      <c r="G116">
        <v>1</v>
      </c>
      <c r="H116">
        <v>3</v>
      </c>
      <c r="I116" t="s">
        <v>641</v>
      </c>
      <c r="J116" t="s">
        <v>653</v>
      </c>
      <c r="K116" t="s">
        <v>643</v>
      </c>
      <c r="L116">
        <v>1339</v>
      </c>
      <c r="N116">
        <v>1007</v>
      </c>
      <c r="O116" t="s">
        <v>377</v>
      </c>
      <c r="P116" t="s">
        <v>377</v>
      </c>
      <c r="Q116">
        <v>1</v>
      </c>
      <c r="X116">
        <v>0.35</v>
      </c>
      <c r="Y116">
        <v>2.44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G116">
        <v>0.35</v>
      </c>
      <c r="AH116">
        <v>3</v>
      </c>
      <c r="AI116">
        <v>-1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ht="12.75">
      <c r="A117">
        <f>ROW(Source!A39)</f>
        <v>39</v>
      </c>
      <c r="B117">
        <v>26995045</v>
      </c>
      <c r="C117">
        <v>26995034</v>
      </c>
      <c r="D117">
        <v>21518261</v>
      </c>
      <c r="E117">
        <v>1</v>
      </c>
      <c r="F117">
        <v>1</v>
      </c>
      <c r="G117">
        <v>1</v>
      </c>
      <c r="H117">
        <v>3</v>
      </c>
      <c r="I117" t="s">
        <v>464</v>
      </c>
      <c r="J117" t="s">
        <v>465</v>
      </c>
      <c r="K117" t="s">
        <v>466</v>
      </c>
      <c r="L117">
        <v>1348</v>
      </c>
      <c r="N117">
        <v>1009</v>
      </c>
      <c r="O117" t="s">
        <v>203</v>
      </c>
      <c r="P117" t="s">
        <v>203</v>
      </c>
      <c r="Q117">
        <v>1000</v>
      </c>
      <c r="X117">
        <v>8.1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G117">
        <v>8.1</v>
      </c>
      <c r="AH117">
        <v>2</v>
      </c>
      <c r="AI117">
        <v>26995039</v>
      </c>
      <c r="AJ117">
        <v>90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ht="12.75">
      <c r="A118">
        <f>ROW(Source!A40)</f>
        <v>40</v>
      </c>
      <c r="B118">
        <v>26995052</v>
      </c>
      <c r="C118">
        <v>26995046</v>
      </c>
      <c r="D118">
        <v>9415152</v>
      </c>
      <c r="E118">
        <v>1</v>
      </c>
      <c r="F118">
        <v>1</v>
      </c>
      <c r="G118">
        <v>1</v>
      </c>
      <c r="H118">
        <v>1</v>
      </c>
      <c r="I118" t="s">
        <v>416</v>
      </c>
      <c r="K118" t="s">
        <v>417</v>
      </c>
      <c r="L118">
        <v>1369</v>
      </c>
      <c r="N118">
        <v>1013</v>
      </c>
      <c r="O118" t="s">
        <v>323</v>
      </c>
      <c r="P118" t="s">
        <v>323</v>
      </c>
      <c r="Q118">
        <v>1</v>
      </c>
      <c r="X118">
        <v>273.6</v>
      </c>
      <c r="Y118">
        <v>0</v>
      </c>
      <c r="Z118">
        <v>0</v>
      </c>
      <c r="AA118">
        <v>0</v>
      </c>
      <c r="AB118">
        <v>7.8</v>
      </c>
      <c r="AC118">
        <v>0</v>
      </c>
      <c r="AD118">
        <v>1</v>
      </c>
      <c r="AE118">
        <v>1</v>
      </c>
      <c r="AG118">
        <v>273.6</v>
      </c>
      <c r="AH118">
        <v>2</v>
      </c>
      <c r="AI118">
        <v>26995047</v>
      </c>
      <c r="AJ118">
        <v>91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ht="12.75">
      <c r="A119">
        <f>ROW(Source!A40)</f>
        <v>40</v>
      </c>
      <c r="B119">
        <v>26995053</v>
      </c>
      <c r="C119">
        <v>26995046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26</v>
      </c>
      <c r="K119" t="s">
        <v>358</v>
      </c>
      <c r="L119">
        <v>608254</v>
      </c>
      <c r="N119">
        <v>1013</v>
      </c>
      <c r="O119" t="s">
        <v>359</v>
      </c>
      <c r="P119" t="s">
        <v>359</v>
      </c>
      <c r="Q119">
        <v>1</v>
      </c>
      <c r="X119">
        <v>50.78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G119">
        <v>50.78</v>
      </c>
      <c r="AH119">
        <v>2</v>
      </c>
      <c r="AI119">
        <v>26995048</v>
      </c>
      <c r="AJ119">
        <v>92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ht="12.75">
      <c r="A120">
        <f>ROW(Source!A40)</f>
        <v>40</v>
      </c>
      <c r="B120">
        <v>26995054</v>
      </c>
      <c r="C120">
        <v>26995046</v>
      </c>
      <c r="D120">
        <v>21284566</v>
      </c>
      <c r="E120">
        <v>1</v>
      </c>
      <c r="F120">
        <v>1</v>
      </c>
      <c r="G120">
        <v>1</v>
      </c>
      <c r="H120">
        <v>2</v>
      </c>
      <c r="I120" t="s">
        <v>436</v>
      </c>
      <c r="J120" t="s">
        <v>437</v>
      </c>
      <c r="K120" t="s">
        <v>438</v>
      </c>
      <c r="L120">
        <v>1368</v>
      </c>
      <c r="N120">
        <v>1011</v>
      </c>
      <c r="O120" t="s">
        <v>327</v>
      </c>
      <c r="P120" t="s">
        <v>327</v>
      </c>
      <c r="Q120">
        <v>1</v>
      </c>
      <c r="X120">
        <v>14.82</v>
      </c>
      <c r="Y120">
        <v>0</v>
      </c>
      <c r="Z120">
        <v>89.99</v>
      </c>
      <c r="AA120">
        <v>10.06</v>
      </c>
      <c r="AB120">
        <v>0</v>
      </c>
      <c r="AC120">
        <v>0</v>
      </c>
      <c r="AD120">
        <v>1</v>
      </c>
      <c r="AE120">
        <v>0</v>
      </c>
      <c r="AG120">
        <v>14.82</v>
      </c>
      <c r="AH120">
        <v>2</v>
      </c>
      <c r="AI120">
        <v>26995049</v>
      </c>
      <c r="AJ120">
        <v>93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ht="12.75">
      <c r="A121">
        <f>ROW(Source!A40)</f>
        <v>40</v>
      </c>
      <c r="B121">
        <v>26995055</v>
      </c>
      <c r="C121">
        <v>26995046</v>
      </c>
      <c r="D121">
        <v>21321317</v>
      </c>
      <c r="E121">
        <v>1</v>
      </c>
      <c r="F121">
        <v>1</v>
      </c>
      <c r="G121">
        <v>1</v>
      </c>
      <c r="H121">
        <v>2</v>
      </c>
      <c r="I121" t="s">
        <v>439</v>
      </c>
      <c r="J121" t="s">
        <v>440</v>
      </c>
      <c r="K121" t="s">
        <v>441</v>
      </c>
      <c r="L121">
        <v>1368</v>
      </c>
      <c r="N121">
        <v>1011</v>
      </c>
      <c r="O121" t="s">
        <v>327</v>
      </c>
      <c r="P121" t="s">
        <v>327</v>
      </c>
      <c r="Q121">
        <v>1</v>
      </c>
      <c r="X121">
        <v>35.96</v>
      </c>
      <c r="Y121">
        <v>0</v>
      </c>
      <c r="Z121">
        <v>16.31</v>
      </c>
      <c r="AA121">
        <v>10.06</v>
      </c>
      <c r="AB121">
        <v>0</v>
      </c>
      <c r="AC121">
        <v>0</v>
      </c>
      <c r="AD121">
        <v>1</v>
      </c>
      <c r="AE121">
        <v>0</v>
      </c>
      <c r="AG121">
        <v>35.96</v>
      </c>
      <c r="AH121">
        <v>2</v>
      </c>
      <c r="AI121">
        <v>26995050</v>
      </c>
      <c r="AJ121">
        <v>94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ht="12.75">
      <c r="A122">
        <f>ROW(Source!A40)</f>
        <v>40</v>
      </c>
      <c r="B122">
        <v>26995056</v>
      </c>
      <c r="C122">
        <v>26995046</v>
      </c>
      <c r="D122">
        <v>21321110</v>
      </c>
      <c r="E122">
        <v>1</v>
      </c>
      <c r="F122">
        <v>1</v>
      </c>
      <c r="G122">
        <v>1</v>
      </c>
      <c r="H122">
        <v>3</v>
      </c>
      <c r="I122" t="s">
        <v>644</v>
      </c>
      <c r="J122" t="s">
        <v>645</v>
      </c>
      <c r="K122" t="s">
        <v>646</v>
      </c>
      <c r="L122">
        <v>1348</v>
      </c>
      <c r="N122">
        <v>1009</v>
      </c>
      <c r="O122" t="s">
        <v>203</v>
      </c>
      <c r="P122" t="s">
        <v>203</v>
      </c>
      <c r="Q122">
        <v>1000</v>
      </c>
      <c r="X122">
        <v>20.4</v>
      </c>
      <c r="Y122">
        <v>313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G122">
        <v>20.4</v>
      </c>
      <c r="AH122">
        <v>3</v>
      </c>
      <c r="AI122">
        <v>-1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ht="12.75">
      <c r="A123">
        <f>ROW(Source!A40)</f>
        <v>40</v>
      </c>
      <c r="B123">
        <v>26995057</v>
      </c>
      <c r="C123">
        <v>26995046</v>
      </c>
      <c r="D123">
        <v>21315586</v>
      </c>
      <c r="E123">
        <v>1</v>
      </c>
      <c r="F123">
        <v>1</v>
      </c>
      <c r="G123">
        <v>1</v>
      </c>
      <c r="H123">
        <v>3</v>
      </c>
      <c r="I123" t="s">
        <v>647</v>
      </c>
      <c r="J123" t="s">
        <v>648</v>
      </c>
      <c r="K123" t="s">
        <v>649</v>
      </c>
      <c r="L123">
        <v>1348</v>
      </c>
      <c r="N123">
        <v>1009</v>
      </c>
      <c r="O123" t="s">
        <v>203</v>
      </c>
      <c r="P123" t="s">
        <v>203</v>
      </c>
      <c r="Q123">
        <v>1000</v>
      </c>
      <c r="X123">
        <v>14</v>
      </c>
      <c r="Y123">
        <v>734.5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G123">
        <v>14</v>
      </c>
      <c r="AH123">
        <v>3</v>
      </c>
      <c r="AI123">
        <v>-1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ht="12.75">
      <c r="A124">
        <f>ROW(Source!A40)</f>
        <v>40</v>
      </c>
      <c r="B124">
        <v>26995058</v>
      </c>
      <c r="C124">
        <v>26995046</v>
      </c>
      <c r="D124">
        <v>21287023</v>
      </c>
      <c r="E124">
        <v>1</v>
      </c>
      <c r="F124">
        <v>1</v>
      </c>
      <c r="G124">
        <v>1</v>
      </c>
      <c r="H124">
        <v>3</v>
      </c>
      <c r="I124" t="s">
        <v>650</v>
      </c>
      <c r="J124" t="s">
        <v>651</v>
      </c>
      <c r="K124" t="s">
        <v>652</v>
      </c>
      <c r="L124">
        <v>1339</v>
      </c>
      <c r="N124">
        <v>1007</v>
      </c>
      <c r="O124" t="s">
        <v>377</v>
      </c>
      <c r="P124" t="s">
        <v>377</v>
      </c>
      <c r="Q124">
        <v>1</v>
      </c>
      <c r="X124">
        <v>110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G124">
        <v>110</v>
      </c>
      <c r="AH124">
        <v>3</v>
      </c>
      <c r="AI124">
        <v>-1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ht="12.75">
      <c r="A125">
        <f>ROW(Source!A40)</f>
        <v>40</v>
      </c>
      <c r="B125">
        <v>26995059</v>
      </c>
      <c r="C125">
        <v>26995046</v>
      </c>
      <c r="D125">
        <v>21281662</v>
      </c>
      <c r="E125">
        <v>1</v>
      </c>
      <c r="F125">
        <v>1</v>
      </c>
      <c r="G125">
        <v>1</v>
      </c>
      <c r="H125">
        <v>3</v>
      </c>
      <c r="I125" t="s">
        <v>641</v>
      </c>
      <c r="J125" t="s">
        <v>653</v>
      </c>
      <c r="K125" t="s">
        <v>643</v>
      </c>
      <c r="L125">
        <v>1339</v>
      </c>
      <c r="N125">
        <v>1007</v>
      </c>
      <c r="O125" t="s">
        <v>377</v>
      </c>
      <c r="P125" t="s">
        <v>377</v>
      </c>
      <c r="Q125">
        <v>1</v>
      </c>
      <c r="X125">
        <v>66</v>
      </c>
      <c r="Y125">
        <v>2.44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G125">
        <v>66</v>
      </c>
      <c r="AH125">
        <v>3</v>
      </c>
      <c r="AI125">
        <v>-1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ht="12.75">
      <c r="A126">
        <f>ROW(Source!A41)</f>
        <v>41</v>
      </c>
      <c r="B126">
        <v>26995063</v>
      </c>
      <c r="C126">
        <v>26995060</v>
      </c>
      <c r="D126">
        <v>9415493</v>
      </c>
      <c r="E126">
        <v>1</v>
      </c>
      <c r="F126">
        <v>1</v>
      </c>
      <c r="G126">
        <v>1</v>
      </c>
      <c r="H126">
        <v>1</v>
      </c>
      <c r="I126" t="s">
        <v>398</v>
      </c>
      <c r="K126" t="s">
        <v>399</v>
      </c>
      <c r="L126">
        <v>1369</v>
      </c>
      <c r="N126">
        <v>1013</v>
      </c>
      <c r="O126" t="s">
        <v>323</v>
      </c>
      <c r="P126" t="s">
        <v>323</v>
      </c>
      <c r="Q126">
        <v>1</v>
      </c>
      <c r="X126">
        <v>24.05</v>
      </c>
      <c r="Y126">
        <v>0</v>
      </c>
      <c r="Z126">
        <v>0</v>
      </c>
      <c r="AA126">
        <v>0</v>
      </c>
      <c r="AB126">
        <v>8.53</v>
      </c>
      <c r="AC126">
        <v>0</v>
      </c>
      <c r="AD126">
        <v>1</v>
      </c>
      <c r="AE126">
        <v>1</v>
      </c>
      <c r="AF126" t="s">
        <v>46</v>
      </c>
      <c r="AG126">
        <v>48.1</v>
      </c>
      <c r="AH126">
        <v>2</v>
      </c>
      <c r="AI126">
        <v>26995061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ht="12.75">
      <c r="A127">
        <f>ROW(Source!A41)</f>
        <v>41</v>
      </c>
      <c r="B127">
        <v>26995064</v>
      </c>
      <c r="C127">
        <v>26995060</v>
      </c>
      <c r="D127">
        <v>24262102</v>
      </c>
      <c r="E127">
        <v>1</v>
      </c>
      <c r="F127">
        <v>1</v>
      </c>
      <c r="G127">
        <v>1</v>
      </c>
      <c r="H127">
        <v>2</v>
      </c>
      <c r="I127" t="s">
        <v>371</v>
      </c>
      <c r="J127" t="s">
        <v>372</v>
      </c>
      <c r="K127" t="s">
        <v>373</v>
      </c>
      <c r="L127">
        <v>1368</v>
      </c>
      <c r="N127">
        <v>1011</v>
      </c>
      <c r="O127" t="s">
        <v>327</v>
      </c>
      <c r="P127" t="s">
        <v>327</v>
      </c>
      <c r="Q127">
        <v>1</v>
      </c>
      <c r="X127">
        <v>0.01</v>
      </c>
      <c r="Y127">
        <v>0</v>
      </c>
      <c r="Z127">
        <v>87.17</v>
      </c>
      <c r="AA127">
        <v>11.6</v>
      </c>
      <c r="AB127">
        <v>0</v>
      </c>
      <c r="AC127">
        <v>0</v>
      </c>
      <c r="AD127">
        <v>1</v>
      </c>
      <c r="AE127">
        <v>0</v>
      </c>
      <c r="AF127" t="s">
        <v>46</v>
      </c>
      <c r="AG127">
        <v>0.02</v>
      </c>
      <c r="AH127">
        <v>3</v>
      </c>
      <c r="AI127">
        <v>-1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ht="12.75">
      <c r="A128">
        <f>ROW(Source!A41)</f>
        <v>41</v>
      </c>
      <c r="B128">
        <v>26995065</v>
      </c>
      <c r="C128">
        <v>26995060</v>
      </c>
      <c r="D128">
        <v>24511611</v>
      </c>
      <c r="E128">
        <v>1</v>
      </c>
      <c r="F128">
        <v>1</v>
      </c>
      <c r="G128">
        <v>1</v>
      </c>
      <c r="H128">
        <v>3</v>
      </c>
      <c r="I128" t="s">
        <v>620</v>
      </c>
      <c r="J128" t="s">
        <v>621</v>
      </c>
      <c r="K128" t="s">
        <v>622</v>
      </c>
      <c r="L128">
        <v>1348</v>
      </c>
      <c r="N128">
        <v>1009</v>
      </c>
      <c r="O128" t="s">
        <v>203</v>
      </c>
      <c r="P128" t="s">
        <v>203</v>
      </c>
      <c r="Q128">
        <v>1000</v>
      </c>
      <c r="X128">
        <v>0.012</v>
      </c>
      <c r="Y128">
        <v>3210.5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46</v>
      </c>
      <c r="AG128">
        <v>0.024</v>
      </c>
      <c r="AH128">
        <v>3</v>
      </c>
      <c r="AI128">
        <v>-1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ht="12.75">
      <c r="A129">
        <f>ROW(Source!A41)</f>
        <v>41</v>
      </c>
      <c r="B129">
        <v>26995066</v>
      </c>
      <c r="C129">
        <v>26995060</v>
      </c>
      <c r="D129">
        <v>24316073</v>
      </c>
      <c r="E129">
        <v>1</v>
      </c>
      <c r="F129">
        <v>1</v>
      </c>
      <c r="G129">
        <v>1</v>
      </c>
      <c r="H129">
        <v>3</v>
      </c>
      <c r="I129" t="s">
        <v>623</v>
      </c>
      <c r="J129" t="s">
        <v>624</v>
      </c>
      <c r="K129" t="s">
        <v>625</v>
      </c>
      <c r="L129">
        <v>1348</v>
      </c>
      <c r="N129">
        <v>1009</v>
      </c>
      <c r="O129" t="s">
        <v>203</v>
      </c>
      <c r="P129" t="s">
        <v>203</v>
      </c>
      <c r="Q129">
        <v>1000</v>
      </c>
      <c r="X129">
        <v>0.012</v>
      </c>
      <c r="Y129">
        <v>586.47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46</v>
      </c>
      <c r="AG129">
        <v>0.024</v>
      </c>
      <c r="AH129">
        <v>3</v>
      </c>
      <c r="AI129">
        <v>-1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ht="12.75">
      <c r="A130">
        <f>ROW(Source!A41)</f>
        <v>41</v>
      </c>
      <c r="B130">
        <v>26995067</v>
      </c>
      <c r="C130">
        <v>26995060</v>
      </c>
      <c r="D130">
        <v>24337057</v>
      </c>
      <c r="E130">
        <v>1</v>
      </c>
      <c r="F130">
        <v>1</v>
      </c>
      <c r="G130">
        <v>1</v>
      </c>
      <c r="H130">
        <v>3</v>
      </c>
      <c r="I130" t="s">
        <v>629</v>
      </c>
      <c r="J130" t="s">
        <v>630</v>
      </c>
      <c r="K130" t="s">
        <v>631</v>
      </c>
      <c r="L130">
        <v>1348</v>
      </c>
      <c r="N130">
        <v>1009</v>
      </c>
      <c r="O130" t="s">
        <v>203</v>
      </c>
      <c r="P130" t="s">
        <v>203</v>
      </c>
      <c r="Q130">
        <v>1000</v>
      </c>
      <c r="X130">
        <v>0.003</v>
      </c>
      <c r="Y130">
        <v>16385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46</v>
      </c>
      <c r="AG130">
        <v>0.006</v>
      </c>
      <c r="AH130">
        <v>3</v>
      </c>
      <c r="AI130">
        <v>-1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ht="12.75">
      <c r="A131">
        <f>ROW(Source!A41)</f>
        <v>41</v>
      </c>
      <c r="B131">
        <v>26995068</v>
      </c>
      <c r="C131">
        <v>26995060</v>
      </c>
      <c r="D131">
        <v>24326231</v>
      </c>
      <c r="E131">
        <v>1</v>
      </c>
      <c r="F131">
        <v>1</v>
      </c>
      <c r="G131">
        <v>1</v>
      </c>
      <c r="H131">
        <v>3</v>
      </c>
      <c r="I131" t="s">
        <v>632</v>
      </c>
      <c r="J131" t="s">
        <v>633</v>
      </c>
      <c r="K131" t="s">
        <v>634</v>
      </c>
      <c r="L131">
        <v>1346</v>
      </c>
      <c r="N131">
        <v>1009</v>
      </c>
      <c r="O131" t="s">
        <v>341</v>
      </c>
      <c r="P131" t="s">
        <v>341</v>
      </c>
      <c r="Q131">
        <v>1</v>
      </c>
      <c r="X131">
        <v>1.4</v>
      </c>
      <c r="Y131">
        <v>8.09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46</v>
      </c>
      <c r="AG131">
        <v>2.8</v>
      </c>
      <c r="AH131">
        <v>3</v>
      </c>
      <c r="AI131">
        <v>-1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ht="12.75">
      <c r="A132">
        <f>ROW(Source!A41)</f>
        <v>41</v>
      </c>
      <c r="B132">
        <v>26995069</v>
      </c>
      <c r="C132">
        <v>26995060</v>
      </c>
      <c r="D132">
        <v>24298010</v>
      </c>
      <c r="E132">
        <v>1</v>
      </c>
      <c r="F132">
        <v>1</v>
      </c>
      <c r="G132">
        <v>1</v>
      </c>
      <c r="H132">
        <v>3</v>
      </c>
      <c r="I132" t="s">
        <v>655</v>
      </c>
      <c r="J132" t="s">
        <v>656</v>
      </c>
      <c r="K132" t="s">
        <v>657</v>
      </c>
      <c r="L132">
        <v>1348</v>
      </c>
      <c r="N132">
        <v>1009</v>
      </c>
      <c r="O132" t="s">
        <v>203</v>
      </c>
      <c r="P132" t="s">
        <v>203</v>
      </c>
      <c r="Q132">
        <v>1000</v>
      </c>
      <c r="X132">
        <v>0.012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46</v>
      </c>
      <c r="AG132">
        <v>0.024</v>
      </c>
      <c r="AH132">
        <v>3</v>
      </c>
      <c r="AI132">
        <v>-1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ht="12.75">
      <c r="A133">
        <f>ROW(Source!A41)</f>
        <v>41</v>
      </c>
      <c r="B133">
        <v>26995070</v>
      </c>
      <c r="C133">
        <v>26995060</v>
      </c>
      <c r="D133">
        <v>24335584</v>
      </c>
      <c r="E133">
        <v>1</v>
      </c>
      <c r="F133">
        <v>1</v>
      </c>
      <c r="G133">
        <v>1</v>
      </c>
      <c r="H133">
        <v>3</v>
      </c>
      <c r="I133" t="s">
        <v>635</v>
      </c>
      <c r="J133" t="s">
        <v>636</v>
      </c>
      <c r="K133" t="s">
        <v>637</v>
      </c>
      <c r="L133">
        <v>1339</v>
      </c>
      <c r="N133">
        <v>1007</v>
      </c>
      <c r="O133" t="s">
        <v>377</v>
      </c>
      <c r="P133" t="s">
        <v>377</v>
      </c>
      <c r="Q133">
        <v>1</v>
      </c>
      <c r="X133">
        <v>0.0047</v>
      </c>
      <c r="Y133">
        <v>74.58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46</v>
      </c>
      <c r="AG133">
        <v>0.0094</v>
      </c>
      <c r="AH133">
        <v>3</v>
      </c>
      <c r="AI133">
        <v>-1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ht="12.75">
      <c r="A134">
        <f>ROW(Source!A42)</f>
        <v>42</v>
      </c>
      <c r="B134">
        <v>26995077</v>
      </c>
      <c r="C134">
        <v>26995071</v>
      </c>
      <c r="D134">
        <v>9415352</v>
      </c>
      <c r="E134">
        <v>1</v>
      </c>
      <c r="F134">
        <v>1</v>
      </c>
      <c r="G134">
        <v>1</v>
      </c>
      <c r="H134">
        <v>1</v>
      </c>
      <c r="I134" t="s">
        <v>387</v>
      </c>
      <c r="K134" t="s">
        <v>388</v>
      </c>
      <c r="L134">
        <v>1369</v>
      </c>
      <c r="N134">
        <v>1013</v>
      </c>
      <c r="O134" t="s">
        <v>323</v>
      </c>
      <c r="P134" t="s">
        <v>323</v>
      </c>
      <c r="Q134">
        <v>1</v>
      </c>
      <c r="X134">
        <v>16.32</v>
      </c>
      <c r="Y134">
        <v>0</v>
      </c>
      <c r="Z134">
        <v>0</v>
      </c>
      <c r="AA134">
        <v>0</v>
      </c>
      <c r="AB134">
        <v>9.62</v>
      </c>
      <c r="AC134">
        <v>0</v>
      </c>
      <c r="AD134">
        <v>1</v>
      </c>
      <c r="AE134">
        <v>1</v>
      </c>
      <c r="AF134" t="s">
        <v>18</v>
      </c>
      <c r="AG134">
        <v>18.767999999999997</v>
      </c>
      <c r="AH134">
        <v>2</v>
      </c>
      <c r="AI134">
        <v>26995072</v>
      </c>
      <c r="AJ134">
        <v>98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ht="12.75">
      <c r="A135">
        <f>ROW(Source!A42)</f>
        <v>42</v>
      </c>
      <c r="B135">
        <v>26995078</v>
      </c>
      <c r="C135">
        <v>26995071</v>
      </c>
      <c r="D135">
        <v>121548</v>
      </c>
      <c r="E135">
        <v>1</v>
      </c>
      <c r="F135">
        <v>1</v>
      </c>
      <c r="G135">
        <v>1</v>
      </c>
      <c r="H135">
        <v>1</v>
      </c>
      <c r="I135" t="s">
        <v>26</v>
      </c>
      <c r="K135" t="s">
        <v>358</v>
      </c>
      <c r="L135">
        <v>608254</v>
      </c>
      <c r="N135">
        <v>1013</v>
      </c>
      <c r="O135" t="s">
        <v>359</v>
      </c>
      <c r="P135" t="s">
        <v>359</v>
      </c>
      <c r="Q135">
        <v>1</v>
      </c>
      <c r="X135">
        <v>0.01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17</v>
      </c>
      <c r="AG135">
        <v>0.0125</v>
      </c>
      <c r="AH135">
        <v>2</v>
      </c>
      <c r="AI135">
        <v>26995073</v>
      </c>
      <c r="AJ135">
        <v>99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ht="12.75">
      <c r="A136">
        <f>ROW(Source!A42)</f>
        <v>42</v>
      </c>
      <c r="B136">
        <v>26995079</v>
      </c>
      <c r="C136">
        <v>26995071</v>
      </c>
      <c r="D136">
        <v>21330172</v>
      </c>
      <c r="E136">
        <v>1</v>
      </c>
      <c r="F136">
        <v>1</v>
      </c>
      <c r="G136">
        <v>1</v>
      </c>
      <c r="H136">
        <v>2</v>
      </c>
      <c r="I136" t="s">
        <v>389</v>
      </c>
      <c r="J136" t="s">
        <v>410</v>
      </c>
      <c r="K136" t="s">
        <v>391</v>
      </c>
      <c r="L136">
        <v>1368</v>
      </c>
      <c r="N136">
        <v>1011</v>
      </c>
      <c r="O136" t="s">
        <v>327</v>
      </c>
      <c r="P136" t="s">
        <v>327</v>
      </c>
      <c r="Q136">
        <v>1</v>
      </c>
      <c r="X136">
        <v>0.01</v>
      </c>
      <c r="Y136">
        <v>0</v>
      </c>
      <c r="Z136">
        <v>31.26</v>
      </c>
      <c r="AA136">
        <v>11.6</v>
      </c>
      <c r="AB136">
        <v>0</v>
      </c>
      <c r="AC136">
        <v>0</v>
      </c>
      <c r="AD136">
        <v>1</v>
      </c>
      <c r="AE136">
        <v>0</v>
      </c>
      <c r="AF136" t="s">
        <v>17</v>
      </c>
      <c r="AG136">
        <v>0.0125</v>
      </c>
      <c r="AH136">
        <v>2</v>
      </c>
      <c r="AI136">
        <v>26995074</v>
      </c>
      <c r="AJ136">
        <v>100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ht="12.75">
      <c r="A137">
        <f>ROW(Source!A42)</f>
        <v>42</v>
      </c>
      <c r="B137">
        <v>26995080</v>
      </c>
      <c r="C137">
        <v>26995071</v>
      </c>
      <c r="D137">
        <v>21280770</v>
      </c>
      <c r="E137">
        <v>1</v>
      </c>
      <c r="F137">
        <v>1</v>
      </c>
      <c r="G137">
        <v>1</v>
      </c>
      <c r="H137">
        <v>2</v>
      </c>
      <c r="I137" t="s">
        <v>371</v>
      </c>
      <c r="J137" t="s">
        <v>458</v>
      </c>
      <c r="K137" t="s">
        <v>373</v>
      </c>
      <c r="L137">
        <v>1368</v>
      </c>
      <c r="N137">
        <v>1011</v>
      </c>
      <c r="O137" t="s">
        <v>327</v>
      </c>
      <c r="P137" t="s">
        <v>327</v>
      </c>
      <c r="Q137">
        <v>1</v>
      </c>
      <c r="X137">
        <v>0.02</v>
      </c>
      <c r="Y137">
        <v>0</v>
      </c>
      <c r="Z137">
        <v>87.17</v>
      </c>
      <c r="AA137">
        <v>11.6</v>
      </c>
      <c r="AB137">
        <v>0</v>
      </c>
      <c r="AC137">
        <v>0</v>
      </c>
      <c r="AD137">
        <v>1</v>
      </c>
      <c r="AE137">
        <v>0</v>
      </c>
      <c r="AF137" t="s">
        <v>17</v>
      </c>
      <c r="AG137">
        <v>0.025</v>
      </c>
      <c r="AH137">
        <v>3</v>
      </c>
      <c r="AI137">
        <v>-1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ht="12.75">
      <c r="A138">
        <f>ROW(Source!A42)</f>
        <v>42</v>
      </c>
      <c r="B138">
        <v>26995081</v>
      </c>
      <c r="C138">
        <v>26995071</v>
      </c>
      <c r="D138">
        <v>21320836</v>
      </c>
      <c r="E138">
        <v>1</v>
      </c>
      <c r="F138">
        <v>1</v>
      </c>
      <c r="G138">
        <v>1</v>
      </c>
      <c r="H138">
        <v>3</v>
      </c>
      <c r="I138" t="s">
        <v>392</v>
      </c>
      <c r="J138" t="s">
        <v>411</v>
      </c>
      <c r="K138" t="s">
        <v>394</v>
      </c>
      <c r="L138">
        <v>1346</v>
      </c>
      <c r="N138">
        <v>1009</v>
      </c>
      <c r="O138" t="s">
        <v>341</v>
      </c>
      <c r="P138" t="s">
        <v>341</v>
      </c>
      <c r="Q138">
        <v>1</v>
      </c>
      <c r="X138">
        <v>0.2</v>
      </c>
      <c r="Y138">
        <v>1.82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G138">
        <v>0.2</v>
      </c>
      <c r="AH138">
        <v>2</v>
      </c>
      <c r="AI138">
        <v>26995075</v>
      </c>
      <c r="AJ138">
        <v>101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ht="12.75">
      <c r="A139">
        <f>ROW(Source!A42)</f>
        <v>42</v>
      </c>
      <c r="B139">
        <v>26995082</v>
      </c>
      <c r="C139">
        <v>26995071</v>
      </c>
      <c r="D139">
        <v>21345267</v>
      </c>
      <c r="E139">
        <v>1</v>
      </c>
      <c r="F139">
        <v>1</v>
      </c>
      <c r="G139">
        <v>1</v>
      </c>
      <c r="H139">
        <v>3</v>
      </c>
      <c r="I139" t="s">
        <v>395</v>
      </c>
      <c r="J139" t="s">
        <v>412</v>
      </c>
      <c r="K139" t="s">
        <v>397</v>
      </c>
      <c r="L139">
        <v>1348</v>
      </c>
      <c r="N139">
        <v>1009</v>
      </c>
      <c r="O139" t="s">
        <v>203</v>
      </c>
      <c r="P139" t="s">
        <v>203</v>
      </c>
      <c r="Q139">
        <v>1000</v>
      </c>
      <c r="X139">
        <v>0.02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G139">
        <v>0.02</v>
      </c>
      <c r="AH139">
        <v>2</v>
      </c>
      <c r="AI139">
        <v>26995076</v>
      </c>
      <c r="AJ139">
        <v>102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ht="12.75">
      <c r="A140">
        <f>ROW(Source!A43)</f>
        <v>43</v>
      </c>
      <c r="B140">
        <v>27030185</v>
      </c>
      <c r="C140">
        <v>27030184</v>
      </c>
      <c r="D140">
        <v>9415493</v>
      </c>
      <c r="E140">
        <v>1</v>
      </c>
      <c r="F140">
        <v>1</v>
      </c>
      <c r="G140">
        <v>1</v>
      </c>
      <c r="H140">
        <v>1</v>
      </c>
      <c r="I140" t="s">
        <v>398</v>
      </c>
      <c r="K140" t="s">
        <v>399</v>
      </c>
      <c r="L140">
        <v>1369</v>
      </c>
      <c r="N140">
        <v>1013</v>
      </c>
      <c r="O140" t="s">
        <v>323</v>
      </c>
      <c r="P140" t="s">
        <v>323</v>
      </c>
      <c r="Q140">
        <v>1</v>
      </c>
      <c r="X140">
        <v>21.19</v>
      </c>
      <c r="Y140">
        <v>0</v>
      </c>
      <c r="Z140">
        <v>0</v>
      </c>
      <c r="AA140">
        <v>0</v>
      </c>
      <c r="AB140">
        <v>8.53</v>
      </c>
      <c r="AC140">
        <v>0</v>
      </c>
      <c r="AD140">
        <v>1</v>
      </c>
      <c r="AE140">
        <v>1</v>
      </c>
      <c r="AF140" t="s">
        <v>18</v>
      </c>
      <c r="AG140">
        <v>24.3685</v>
      </c>
      <c r="AH140">
        <v>2</v>
      </c>
      <c r="AI140">
        <v>27030185</v>
      </c>
      <c r="AJ140">
        <v>103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ht="12.75">
      <c r="A141">
        <f>ROW(Source!A43)</f>
        <v>43</v>
      </c>
      <c r="B141">
        <v>27030186</v>
      </c>
      <c r="C141">
        <v>27030184</v>
      </c>
      <c r="D141">
        <v>121548</v>
      </c>
      <c r="E141">
        <v>1</v>
      </c>
      <c r="F141">
        <v>1</v>
      </c>
      <c r="G141">
        <v>1</v>
      </c>
      <c r="H141">
        <v>1</v>
      </c>
      <c r="I141" t="s">
        <v>26</v>
      </c>
      <c r="K141" t="s">
        <v>358</v>
      </c>
      <c r="L141">
        <v>608254</v>
      </c>
      <c r="N141">
        <v>1013</v>
      </c>
      <c r="O141" t="s">
        <v>359</v>
      </c>
      <c r="P141" t="s">
        <v>359</v>
      </c>
      <c r="Q141">
        <v>1</v>
      </c>
      <c r="X141">
        <v>0.04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17</v>
      </c>
      <c r="AG141">
        <v>0.05</v>
      </c>
      <c r="AH141">
        <v>2</v>
      </c>
      <c r="AI141">
        <v>27030186</v>
      </c>
      <c r="AJ141">
        <v>104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ht="12.75">
      <c r="A142">
        <f>ROW(Source!A43)</f>
        <v>43</v>
      </c>
      <c r="B142">
        <v>27030187</v>
      </c>
      <c r="C142">
        <v>27030184</v>
      </c>
      <c r="D142">
        <v>21330172</v>
      </c>
      <c r="E142">
        <v>1</v>
      </c>
      <c r="F142">
        <v>1</v>
      </c>
      <c r="G142">
        <v>1</v>
      </c>
      <c r="H142">
        <v>2</v>
      </c>
      <c r="I142" t="s">
        <v>389</v>
      </c>
      <c r="J142" t="s">
        <v>410</v>
      </c>
      <c r="K142" t="s">
        <v>391</v>
      </c>
      <c r="L142">
        <v>1368</v>
      </c>
      <c r="N142">
        <v>1011</v>
      </c>
      <c r="O142" t="s">
        <v>327</v>
      </c>
      <c r="P142" t="s">
        <v>327</v>
      </c>
      <c r="Q142">
        <v>1</v>
      </c>
      <c r="X142">
        <v>0.04</v>
      </c>
      <c r="Y142">
        <v>0</v>
      </c>
      <c r="Z142">
        <v>31.26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17</v>
      </c>
      <c r="AG142">
        <v>0.05</v>
      </c>
      <c r="AH142">
        <v>2</v>
      </c>
      <c r="AI142">
        <v>27030187</v>
      </c>
      <c r="AJ142">
        <v>105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ht="12.75">
      <c r="A143">
        <f>ROW(Source!A43)</f>
        <v>43</v>
      </c>
      <c r="B143">
        <v>27030188</v>
      </c>
      <c r="C143">
        <v>27030184</v>
      </c>
      <c r="D143">
        <v>21280770</v>
      </c>
      <c r="E143">
        <v>1</v>
      </c>
      <c r="F143">
        <v>1</v>
      </c>
      <c r="G143">
        <v>1</v>
      </c>
      <c r="H143">
        <v>2</v>
      </c>
      <c r="I143" t="s">
        <v>371</v>
      </c>
      <c r="J143" t="s">
        <v>458</v>
      </c>
      <c r="K143" t="s">
        <v>373</v>
      </c>
      <c r="L143">
        <v>1368</v>
      </c>
      <c r="N143">
        <v>1011</v>
      </c>
      <c r="O143" t="s">
        <v>327</v>
      </c>
      <c r="P143" t="s">
        <v>327</v>
      </c>
      <c r="Q143">
        <v>1</v>
      </c>
      <c r="X143">
        <v>0.15</v>
      </c>
      <c r="Y143">
        <v>0</v>
      </c>
      <c r="Z143">
        <v>87.17</v>
      </c>
      <c r="AA143">
        <v>11.6</v>
      </c>
      <c r="AB143">
        <v>0</v>
      </c>
      <c r="AC143">
        <v>0</v>
      </c>
      <c r="AD143">
        <v>1</v>
      </c>
      <c r="AE143">
        <v>0</v>
      </c>
      <c r="AF143" t="s">
        <v>17</v>
      </c>
      <c r="AG143">
        <v>0.1875</v>
      </c>
      <c r="AH143">
        <v>2</v>
      </c>
      <c r="AI143">
        <v>27030188</v>
      </c>
      <c r="AJ143">
        <v>106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ht="12.75">
      <c r="A144">
        <f>ROW(Source!A43)</f>
        <v>43</v>
      </c>
      <c r="B144">
        <v>27030189</v>
      </c>
      <c r="C144">
        <v>27030184</v>
      </c>
      <c r="D144">
        <v>21343279</v>
      </c>
      <c r="E144">
        <v>1</v>
      </c>
      <c r="F144">
        <v>1</v>
      </c>
      <c r="G144">
        <v>1</v>
      </c>
      <c r="H144">
        <v>3</v>
      </c>
      <c r="I144" t="s">
        <v>468</v>
      </c>
      <c r="J144" t="s">
        <v>469</v>
      </c>
      <c r="K144" t="s">
        <v>470</v>
      </c>
      <c r="L144">
        <v>1354</v>
      </c>
      <c r="N144">
        <v>1010</v>
      </c>
      <c r="O144" t="s">
        <v>352</v>
      </c>
      <c r="P144" t="s">
        <v>352</v>
      </c>
      <c r="Q144">
        <v>1</v>
      </c>
      <c r="X144">
        <v>56.6</v>
      </c>
      <c r="Y144">
        <v>67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G144">
        <v>56.6</v>
      </c>
      <c r="AH144">
        <v>2</v>
      </c>
      <c r="AI144">
        <v>27030189</v>
      </c>
      <c r="AJ144">
        <v>107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ht="12.75">
      <c r="A145">
        <f>ROW(Source!A43)</f>
        <v>43</v>
      </c>
      <c r="B145">
        <v>27030190</v>
      </c>
      <c r="C145">
        <v>27030184</v>
      </c>
      <c r="D145">
        <v>21343388</v>
      </c>
      <c r="E145">
        <v>1</v>
      </c>
      <c r="F145">
        <v>1</v>
      </c>
      <c r="G145">
        <v>1</v>
      </c>
      <c r="H145">
        <v>3</v>
      </c>
      <c r="I145" t="s">
        <v>471</v>
      </c>
      <c r="J145" t="s">
        <v>472</v>
      </c>
      <c r="K145" t="s">
        <v>473</v>
      </c>
      <c r="L145">
        <v>1301</v>
      </c>
      <c r="N145">
        <v>1003</v>
      </c>
      <c r="O145" t="s">
        <v>337</v>
      </c>
      <c r="P145" t="s">
        <v>337</v>
      </c>
      <c r="Q145">
        <v>1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1</v>
      </c>
      <c r="AD145">
        <v>0</v>
      </c>
      <c r="AE145">
        <v>0</v>
      </c>
      <c r="AG145">
        <v>0</v>
      </c>
      <c r="AH145">
        <v>2</v>
      </c>
      <c r="AI145">
        <v>27030190</v>
      </c>
      <c r="AJ145">
        <v>108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ht="12.75">
      <c r="A146">
        <f>ROW(Source!A43)</f>
        <v>43</v>
      </c>
      <c r="B146">
        <v>27030191</v>
      </c>
      <c r="C146">
        <v>27030184</v>
      </c>
      <c r="D146">
        <v>21343281</v>
      </c>
      <c r="E146">
        <v>1</v>
      </c>
      <c r="F146">
        <v>1</v>
      </c>
      <c r="G146">
        <v>1</v>
      </c>
      <c r="H146">
        <v>3</v>
      </c>
      <c r="I146" t="s">
        <v>474</v>
      </c>
      <c r="J146" t="s">
        <v>475</v>
      </c>
      <c r="K146" t="s">
        <v>476</v>
      </c>
      <c r="L146">
        <v>1354</v>
      </c>
      <c r="N146">
        <v>1010</v>
      </c>
      <c r="O146" t="s">
        <v>352</v>
      </c>
      <c r="P146" t="s">
        <v>352</v>
      </c>
      <c r="Q146">
        <v>1</v>
      </c>
      <c r="X146">
        <v>400</v>
      </c>
      <c r="Y146">
        <v>0.5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G146">
        <v>400</v>
      </c>
      <c r="AH146">
        <v>2</v>
      </c>
      <c r="AI146">
        <v>27030191</v>
      </c>
      <c r="AJ146">
        <v>109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ht="12.75">
      <c r="A147">
        <f>ROW(Source!A44)</f>
        <v>44</v>
      </c>
      <c r="B147">
        <v>27030201</v>
      </c>
      <c r="C147">
        <v>27030192</v>
      </c>
      <c r="D147">
        <v>9416104</v>
      </c>
      <c r="E147">
        <v>1</v>
      </c>
      <c r="F147">
        <v>1</v>
      </c>
      <c r="G147">
        <v>1</v>
      </c>
      <c r="H147">
        <v>1</v>
      </c>
      <c r="I147" t="s">
        <v>400</v>
      </c>
      <c r="K147" t="s">
        <v>401</v>
      </c>
      <c r="L147">
        <v>1369</v>
      </c>
      <c r="N147">
        <v>1013</v>
      </c>
      <c r="O147" t="s">
        <v>323</v>
      </c>
      <c r="P147" t="s">
        <v>323</v>
      </c>
      <c r="Q147">
        <v>1</v>
      </c>
      <c r="X147">
        <v>16.94</v>
      </c>
      <c r="Y147">
        <v>0</v>
      </c>
      <c r="Z147">
        <v>0</v>
      </c>
      <c r="AA147">
        <v>0</v>
      </c>
      <c r="AB147">
        <v>8.97</v>
      </c>
      <c r="AC147">
        <v>0</v>
      </c>
      <c r="AD147">
        <v>1</v>
      </c>
      <c r="AE147">
        <v>1</v>
      </c>
      <c r="AF147" t="s">
        <v>18</v>
      </c>
      <c r="AG147">
        <v>19.481</v>
      </c>
      <c r="AH147">
        <v>2</v>
      </c>
      <c r="AI147">
        <v>27030193</v>
      </c>
      <c r="AJ147">
        <v>110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ht="12.75">
      <c r="A148">
        <f>ROW(Source!A44)</f>
        <v>44</v>
      </c>
      <c r="B148">
        <v>27030202</v>
      </c>
      <c r="C148">
        <v>27030192</v>
      </c>
      <c r="D148">
        <v>121548</v>
      </c>
      <c r="E148">
        <v>1</v>
      </c>
      <c r="F148">
        <v>1</v>
      </c>
      <c r="G148">
        <v>1</v>
      </c>
      <c r="H148">
        <v>1</v>
      </c>
      <c r="I148" t="s">
        <v>26</v>
      </c>
      <c r="K148" t="s">
        <v>358</v>
      </c>
      <c r="L148">
        <v>608254</v>
      </c>
      <c r="N148">
        <v>1013</v>
      </c>
      <c r="O148" t="s">
        <v>359</v>
      </c>
      <c r="P148" t="s">
        <v>359</v>
      </c>
      <c r="Q148">
        <v>1</v>
      </c>
      <c r="X148">
        <v>0.01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2</v>
      </c>
      <c r="AF148" t="s">
        <v>17</v>
      </c>
      <c r="AG148">
        <v>0.0125</v>
      </c>
      <c r="AH148">
        <v>2</v>
      </c>
      <c r="AI148">
        <v>27030194</v>
      </c>
      <c r="AJ148">
        <v>111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ht="12.75">
      <c r="A149">
        <f>ROW(Source!A44)</f>
        <v>44</v>
      </c>
      <c r="B149">
        <v>27030203</v>
      </c>
      <c r="C149">
        <v>27030192</v>
      </c>
      <c r="D149">
        <v>24312004</v>
      </c>
      <c r="E149">
        <v>1</v>
      </c>
      <c r="F149">
        <v>1</v>
      </c>
      <c r="G149">
        <v>1</v>
      </c>
      <c r="H149">
        <v>2</v>
      </c>
      <c r="I149" t="s">
        <v>389</v>
      </c>
      <c r="J149" t="s">
        <v>390</v>
      </c>
      <c r="K149" t="s">
        <v>391</v>
      </c>
      <c r="L149">
        <v>1368</v>
      </c>
      <c r="N149">
        <v>1011</v>
      </c>
      <c r="O149" t="s">
        <v>327</v>
      </c>
      <c r="P149" t="s">
        <v>327</v>
      </c>
      <c r="Q149">
        <v>1</v>
      </c>
      <c r="X149">
        <v>0.01</v>
      </c>
      <c r="Y149">
        <v>0</v>
      </c>
      <c r="Z149">
        <v>31.26</v>
      </c>
      <c r="AA149">
        <v>13.5</v>
      </c>
      <c r="AB149">
        <v>0</v>
      </c>
      <c r="AC149">
        <v>0</v>
      </c>
      <c r="AD149">
        <v>1</v>
      </c>
      <c r="AE149">
        <v>0</v>
      </c>
      <c r="AF149" t="s">
        <v>17</v>
      </c>
      <c r="AG149">
        <v>0.0125</v>
      </c>
      <c r="AH149">
        <v>2</v>
      </c>
      <c r="AI149">
        <v>27030195</v>
      </c>
      <c r="AJ149">
        <v>112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ht="12.75">
      <c r="A150">
        <f>ROW(Source!A44)</f>
        <v>44</v>
      </c>
      <c r="B150">
        <v>27030204</v>
      </c>
      <c r="C150">
        <v>27030192</v>
      </c>
      <c r="D150">
        <v>24262102</v>
      </c>
      <c r="E150">
        <v>1</v>
      </c>
      <c r="F150">
        <v>1</v>
      </c>
      <c r="G150">
        <v>1</v>
      </c>
      <c r="H150">
        <v>2</v>
      </c>
      <c r="I150" t="s">
        <v>371</v>
      </c>
      <c r="J150" t="s">
        <v>372</v>
      </c>
      <c r="K150" t="s">
        <v>373</v>
      </c>
      <c r="L150">
        <v>1368</v>
      </c>
      <c r="N150">
        <v>1011</v>
      </c>
      <c r="O150" t="s">
        <v>327</v>
      </c>
      <c r="P150" t="s">
        <v>327</v>
      </c>
      <c r="Q150">
        <v>1</v>
      </c>
      <c r="X150">
        <v>0.09</v>
      </c>
      <c r="Y150">
        <v>0</v>
      </c>
      <c r="Z150">
        <v>87.17</v>
      </c>
      <c r="AA150">
        <v>11.6</v>
      </c>
      <c r="AB150">
        <v>0</v>
      </c>
      <c r="AC150">
        <v>0</v>
      </c>
      <c r="AD150">
        <v>1</v>
      </c>
      <c r="AE150">
        <v>0</v>
      </c>
      <c r="AF150" t="s">
        <v>17</v>
      </c>
      <c r="AG150">
        <v>0.11249999999999999</v>
      </c>
      <c r="AH150">
        <v>2</v>
      </c>
      <c r="AI150">
        <v>27030196</v>
      </c>
      <c r="AJ150">
        <v>113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ht="12.75">
      <c r="A151">
        <f>ROW(Source!A44)</f>
        <v>44</v>
      </c>
      <c r="B151">
        <v>27030205</v>
      </c>
      <c r="C151">
        <v>27030192</v>
      </c>
      <c r="D151">
        <v>24331087</v>
      </c>
      <c r="E151">
        <v>1</v>
      </c>
      <c r="F151">
        <v>1</v>
      </c>
      <c r="G151">
        <v>1</v>
      </c>
      <c r="H151">
        <v>3</v>
      </c>
      <c r="I151" t="s">
        <v>402</v>
      </c>
      <c r="J151" t="s">
        <v>403</v>
      </c>
      <c r="K151" t="s">
        <v>404</v>
      </c>
      <c r="L151">
        <v>1327</v>
      </c>
      <c r="N151">
        <v>1005</v>
      </c>
      <c r="O151" t="s">
        <v>348</v>
      </c>
      <c r="P151" t="s">
        <v>348</v>
      </c>
      <c r="Q151">
        <v>1</v>
      </c>
      <c r="X151">
        <v>0.33</v>
      </c>
      <c r="Y151">
        <v>72.32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0</v>
      </c>
      <c r="AG151">
        <v>0.33</v>
      </c>
      <c r="AH151">
        <v>2</v>
      </c>
      <c r="AI151">
        <v>27030197</v>
      </c>
      <c r="AJ151">
        <v>114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ht="12.75">
      <c r="A152">
        <f>ROW(Source!A44)</f>
        <v>44</v>
      </c>
      <c r="B152">
        <v>27030206</v>
      </c>
      <c r="C152">
        <v>27030192</v>
      </c>
      <c r="D152">
        <v>24313317</v>
      </c>
      <c r="E152">
        <v>1</v>
      </c>
      <c r="F152">
        <v>1</v>
      </c>
      <c r="G152">
        <v>1</v>
      </c>
      <c r="H152">
        <v>3</v>
      </c>
      <c r="I152" t="s">
        <v>405</v>
      </c>
      <c r="J152" t="s">
        <v>406</v>
      </c>
      <c r="K152" t="s">
        <v>638</v>
      </c>
      <c r="L152">
        <v>1348</v>
      </c>
      <c r="N152">
        <v>1009</v>
      </c>
      <c r="O152" t="s">
        <v>203</v>
      </c>
      <c r="P152" t="s">
        <v>203</v>
      </c>
      <c r="Q152">
        <v>1000</v>
      </c>
      <c r="X152">
        <v>0.0055</v>
      </c>
      <c r="Y152">
        <v>4294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G152">
        <v>0.0055</v>
      </c>
      <c r="AH152">
        <v>2</v>
      </c>
      <c r="AI152">
        <v>27030198</v>
      </c>
      <c r="AJ152">
        <v>115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ht="12.75">
      <c r="A153">
        <f>ROW(Source!A44)</f>
        <v>44</v>
      </c>
      <c r="B153">
        <v>27030207</v>
      </c>
      <c r="C153">
        <v>27030192</v>
      </c>
      <c r="D153">
        <v>24302728</v>
      </c>
      <c r="E153">
        <v>1</v>
      </c>
      <c r="F153">
        <v>1</v>
      </c>
      <c r="G153">
        <v>1</v>
      </c>
      <c r="H153">
        <v>3</v>
      </c>
      <c r="I153" t="s">
        <v>392</v>
      </c>
      <c r="J153" t="s">
        <v>393</v>
      </c>
      <c r="K153" t="s">
        <v>394</v>
      </c>
      <c r="L153">
        <v>1346</v>
      </c>
      <c r="N153">
        <v>1009</v>
      </c>
      <c r="O153" t="s">
        <v>341</v>
      </c>
      <c r="P153" t="s">
        <v>341</v>
      </c>
      <c r="Q153">
        <v>1</v>
      </c>
      <c r="X153">
        <v>0.11</v>
      </c>
      <c r="Y153">
        <v>1.82</v>
      </c>
      <c r="Z153">
        <v>0</v>
      </c>
      <c r="AA153">
        <v>0</v>
      </c>
      <c r="AB153">
        <v>0</v>
      </c>
      <c r="AC153">
        <v>0</v>
      </c>
      <c r="AD153">
        <v>1</v>
      </c>
      <c r="AE153">
        <v>0</v>
      </c>
      <c r="AG153">
        <v>0.11</v>
      </c>
      <c r="AH153">
        <v>2</v>
      </c>
      <c r="AI153">
        <v>27030199</v>
      </c>
      <c r="AJ153">
        <v>116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ht="12.75">
      <c r="A154">
        <f>ROW(Source!A44)</f>
        <v>44</v>
      </c>
      <c r="B154">
        <v>27030208</v>
      </c>
      <c r="C154">
        <v>27030192</v>
      </c>
      <c r="D154">
        <v>24577300</v>
      </c>
      <c r="E154">
        <v>1</v>
      </c>
      <c r="F154">
        <v>1</v>
      </c>
      <c r="G154">
        <v>1</v>
      </c>
      <c r="H154">
        <v>3</v>
      </c>
      <c r="I154" t="s">
        <v>407</v>
      </c>
      <c r="J154" t="s">
        <v>408</v>
      </c>
      <c r="K154" t="s">
        <v>639</v>
      </c>
      <c r="L154">
        <v>1348</v>
      </c>
      <c r="N154">
        <v>1009</v>
      </c>
      <c r="O154" t="s">
        <v>203</v>
      </c>
      <c r="P154" t="s">
        <v>203</v>
      </c>
      <c r="Q154">
        <v>1000</v>
      </c>
      <c r="X154">
        <v>0.057</v>
      </c>
      <c r="Y154">
        <v>15481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G154">
        <v>0.057</v>
      </c>
      <c r="AH154">
        <v>2</v>
      </c>
      <c r="AI154">
        <v>27030200</v>
      </c>
      <c r="AJ154">
        <v>117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ht="12.75">
      <c r="A155">
        <f>ROW(Source!A45)</f>
        <v>45</v>
      </c>
      <c r="B155">
        <v>27024150</v>
      </c>
      <c r="C155">
        <v>27024145</v>
      </c>
      <c r="D155">
        <v>9415493</v>
      </c>
      <c r="E155">
        <v>1</v>
      </c>
      <c r="F155">
        <v>1</v>
      </c>
      <c r="G155">
        <v>1</v>
      </c>
      <c r="H155">
        <v>1</v>
      </c>
      <c r="I155" t="s">
        <v>398</v>
      </c>
      <c r="K155" t="s">
        <v>399</v>
      </c>
      <c r="L155">
        <v>1369</v>
      </c>
      <c r="N155">
        <v>1013</v>
      </c>
      <c r="O155" t="s">
        <v>323</v>
      </c>
      <c r="P155" t="s">
        <v>323</v>
      </c>
      <c r="Q155">
        <v>1</v>
      </c>
      <c r="X155">
        <v>49.59</v>
      </c>
      <c r="Y155">
        <v>0</v>
      </c>
      <c r="Z155">
        <v>0</v>
      </c>
      <c r="AA155">
        <v>0</v>
      </c>
      <c r="AB155">
        <v>8.53</v>
      </c>
      <c r="AC155">
        <v>0</v>
      </c>
      <c r="AD155">
        <v>1</v>
      </c>
      <c r="AE155">
        <v>1</v>
      </c>
      <c r="AG155">
        <v>49.59</v>
      </c>
      <c r="AH155">
        <v>2</v>
      </c>
      <c r="AI155">
        <v>27024146</v>
      </c>
      <c r="AJ155">
        <v>118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ht="12.75">
      <c r="A156">
        <f>ROW(Source!A45)</f>
        <v>45</v>
      </c>
      <c r="B156">
        <v>27024151</v>
      </c>
      <c r="C156">
        <v>27024145</v>
      </c>
      <c r="D156">
        <v>121548</v>
      </c>
      <c r="E156">
        <v>1</v>
      </c>
      <c r="F156">
        <v>1</v>
      </c>
      <c r="G156">
        <v>1</v>
      </c>
      <c r="H156">
        <v>1</v>
      </c>
      <c r="I156" t="s">
        <v>26</v>
      </c>
      <c r="K156" t="s">
        <v>358</v>
      </c>
      <c r="L156">
        <v>608254</v>
      </c>
      <c r="N156">
        <v>1013</v>
      </c>
      <c r="O156" t="s">
        <v>359</v>
      </c>
      <c r="P156" t="s">
        <v>359</v>
      </c>
      <c r="Q156">
        <v>1</v>
      </c>
      <c r="X156">
        <v>23.08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2</v>
      </c>
      <c r="AG156">
        <v>23.08</v>
      </c>
      <c r="AH156">
        <v>2</v>
      </c>
      <c r="AI156">
        <v>27024147</v>
      </c>
      <c r="AJ156">
        <v>119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ht="12.75">
      <c r="A157">
        <f>ROW(Source!A45)</f>
        <v>45</v>
      </c>
      <c r="B157">
        <v>27024152</v>
      </c>
      <c r="C157">
        <v>27024145</v>
      </c>
      <c r="D157">
        <v>24267967</v>
      </c>
      <c r="E157">
        <v>1</v>
      </c>
      <c r="F157">
        <v>1</v>
      </c>
      <c r="G157">
        <v>1</v>
      </c>
      <c r="H157">
        <v>2</v>
      </c>
      <c r="I157" t="s">
        <v>477</v>
      </c>
      <c r="J157" t="s">
        <v>478</v>
      </c>
      <c r="K157" t="s">
        <v>479</v>
      </c>
      <c r="L157">
        <v>1368</v>
      </c>
      <c r="N157">
        <v>1011</v>
      </c>
      <c r="O157" t="s">
        <v>327</v>
      </c>
      <c r="P157" t="s">
        <v>327</v>
      </c>
      <c r="Q157">
        <v>1</v>
      </c>
      <c r="X157">
        <v>23.08</v>
      </c>
      <c r="Y157">
        <v>0</v>
      </c>
      <c r="Z157">
        <v>90</v>
      </c>
      <c r="AA157">
        <v>10.06</v>
      </c>
      <c r="AB157">
        <v>0</v>
      </c>
      <c r="AC157">
        <v>0</v>
      </c>
      <c r="AD157">
        <v>1</v>
      </c>
      <c r="AE157">
        <v>0</v>
      </c>
      <c r="AG157">
        <v>23.08</v>
      </c>
      <c r="AH157">
        <v>2</v>
      </c>
      <c r="AI157">
        <v>27024148</v>
      </c>
      <c r="AJ157">
        <v>120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ht="12.75">
      <c r="A158">
        <f>ROW(Source!A45)</f>
        <v>45</v>
      </c>
      <c r="B158">
        <v>27024153</v>
      </c>
      <c r="C158">
        <v>27024145</v>
      </c>
      <c r="D158">
        <v>24268931</v>
      </c>
      <c r="E158">
        <v>1</v>
      </c>
      <c r="F158">
        <v>1</v>
      </c>
      <c r="G158">
        <v>1</v>
      </c>
      <c r="H158">
        <v>2</v>
      </c>
      <c r="I158" t="s">
        <v>480</v>
      </c>
      <c r="J158" t="s">
        <v>481</v>
      </c>
      <c r="K158" t="s">
        <v>482</v>
      </c>
      <c r="L158">
        <v>1368</v>
      </c>
      <c r="N158">
        <v>1011</v>
      </c>
      <c r="O158" t="s">
        <v>327</v>
      </c>
      <c r="P158" t="s">
        <v>327</v>
      </c>
      <c r="Q158">
        <v>1</v>
      </c>
      <c r="X158">
        <v>46.16</v>
      </c>
      <c r="Y158">
        <v>0</v>
      </c>
      <c r="Z158">
        <v>1.53</v>
      </c>
      <c r="AA158">
        <v>0</v>
      </c>
      <c r="AB158">
        <v>0</v>
      </c>
      <c r="AC158">
        <v>0</v>
      </c>
      <c r="AD158">
        <v>1</v>
      </c>
      <c r="AE158">
        <v>0</v>
      </c>
      <c r="AG158">
        <v>46.16</v>
      </c>
      <c r="AH158">
        <v>2</v>
      </c>
      <c r="AI158">
        <v>27024149</v>
      </c>
      <c r="AJ158">
        <v>121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ht="12.75">
      <c r="A159">
        <f>ROW(Source!A46)</f>
        <v>46</v>
      </c>
      <c r="B159">
        <v>27022846</v>
      </c>
      <c r="C159">
        <v>27022839</v>
      </c>
      <c r="D159">
        <v>9415352</v>
      </c>
      <c r="E159">
        <v>1</v>
      </c>
      <c r="F159">
        <v>1</v>
      </c>
      <c r="G159">
        <v>1</v>
      </c>
      <c r="H159">
        <v>1</v>
      </c>
      <c r="I159" t="s">
        <v>387</v>
      </c>
      <c r="K159" t="s">
        <v>388</v>
      </c>
      <c r="L159">
        <v>1369</v>
      </c>
      <c r="N159">
        <v>1013</v>
      </c>
      <c r="O159" t="s">
        <v>323</v>
      </c>
      <c r="P159" t="s">
        <v>323</v>
      </c>
      <c r="Q159">
        <v>1</v>
      </c>
      <c r="X159">
        <v>39.1</v>
      </c>
      <c r="Y159">
        <v>0</v>
      </c>
      <c r="Z159">
        <v>0</v>
      </c>
      <c r="AA159">
        <v>0</v>
      </c>
      <c r="AB159">
        <v>9.62</v>
      </c>
      <c r="AC159">
        <v>0</v>
      </c>
      <c r="AD159">
        <v>1</v>
      </c>
      <c r="AE159">
        <v>1</v>
      </c>
      <c r="AF159" t="s">
        <v>18</v>
      </c>
      <c r="AG159">
        <v>44.964999999999996</v>
      </c>
      <c r="AH159">
        <v>2</v>
      </c>
      <c r="AI159">
        <v>27022840</v>
      </c>
      <c r="AJ159">
        <v>122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ht="12.75">
      <c r="A160">
        <f>ROW(Source!A46)</f>
        <v>46</v>
      </c>
      <c r="B160">
        <v>27022847</v>
      </c>
      <c r="C160">
        <v>27022839</v>
      </c>
      <c r="D160">
        <v>121548</v>
      </c>
      <c r="E160">
        <v>1</v>
      </c>
      <c r="F160">
        <v>1</v>
      </c>
      <c r="G160">
        <v>1</v>
      </c>
      <c r="H160">
        <v>1</v>
      </c>
      <c r="I160" t="s">
        <v>26</v>
      </c>
      <c r="K160" t="s">
        <v>358</v>
      </c>
      <c r="L160">
        <v>608254</v>
      </c>
      <c r="N160">
        <v>1013</v>
      </c>
      <c r="O160" t="s">
        <v>359</v>
      </c>
      <c r="P160" t="s">
        <v>359</v>
      </c>
      <c r="Q160">
        <v>1</v>
      </c>
      <c r="X160">
        <v>13.92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2</v>
      </c>
      <c r="AF160" t="s">
        <v>17</v>
      </c>
      <c r="AG160">
        <v>17.4</v>
      </c>
      <c r="AH160">
        <v>2</v>
      </c>
      <c r="AI160">
        <v>27022841</v>
      </c>
      <c r="AJ160">
        <v>123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ht="12.75">
      <c r="A161">
        <f>ROW(Source!A46)</f>
        <v>46</v>
      </c>
      <c r="B161">
        <v>27022848</v>
      </c>
      <c r="C161">
        <v>27022839</v>
      </c>
      <c r="D161">
        <v>24330262</v>
      </c>
      <c r="E161">
        <v>1</v>
      </c>
      <c r="F161">
        <v>1</v>
      </c>
      <c r="G161">
        <v>1</v>
      </c>
      <c r="H161">
        <v>2</v>
      </c>
      <c r="I161" t="s">
        <v>658</v>
      </c>
      <c r="J161" t="s">
        <v>484</v>
      </c>
      <c r="K161" t="s">
        <v>659</v>
      </c>
      <c r="L161">
        <v>1368</v>
      </c>
      <c r="N161">
        <v>1011</v>
      </c>
      <c r="O161" t="s">
        <v>327</v>
      </c>
      <c r="P161" t="s">
        <v>327</v>
      </c>
      <c r="Q161">
        <v>1</v>
      </c>
      <c r="X161">
        <v>13.92</v>
      </c>
      <c r="Y161">
        <v>0</v>
      </c>
      <c r="Z161">
        <v>17.3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17</v>
      </c>
      <c r="AG161">
        <v>17.4</v>
      </c>
      <c r="AH161">
        <v>3</v>
      </c>
      <c r="AI161">
        <v>-1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ht="12.75">
      <c r="A162">
        <f>ROW(Source!A46)</f>
        <v>46</v>
      </c>
      <c r="B162">
        <v>27022849</v>
      </c>
      <c r="C162">
        <v>27022839</v>
      </c>
      <c r="D162">
        <v>24330261</v>
      </c>
      <c r="E162">
        <v>1</v>
      </c>
      <c r="F162">
        <v>1</v>
      </c>
      <c r="G162">
        <v>1</v>
      </c>
      <c r="H162">
        <v>3</v>
      </c>
      <c r="I162" t="s">
        <v>487</v>
      </c>
      <c r="J162" t="s">
        <v>488</v>
      </c>
      <c r="K162" t="s">
        <v>489</v>
      </c>
      <c r="L162">
        <v>1339</v>
      </c>
      <c r="N162">
        <v>1007</v>
      </c>
      <c r="O162" t="s">
        <v>377</v>
      </c>
      <c r="P162" t="s">
        <v>377</v>
      </c>
      <c r="Q162">
        <v>1</v>
      </c>
      <c r="X162">
        <v>0.19</v>
      </c>
      <c r="Y162">
        <v>775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G162">
        <v>0.19</v>
      </c>
      <c r="AH162">
        <v>2</v>
      </c>
      <c r="AI162">
        <v>27022844</v>
      </c>
      <c r="AJ162">
        <v>126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ht="12.75">
      <c r="A163">
        <f>ROW(Source!A46)</f>
        <v>46</v>
      </c>
      <c r="B163">
        <v>27022850</v>
      </c>
      <c r="C163">
        <v>27022839</v>
      </c>
      <c r="D163">
        <v>24786284</v>
      </c>
      <c r="E163">
        <v>1</v>
      </c>
      <c r="F163">
        <v>1</v>
      </c>
      <c r="G163">
        <v>1</v>
      </c>
      <c r="H163">
        <v>3</v>
      </c>
      <c r="I163" t="s">
        <v>490</v>
      </c>
      <c r="J163" t="s">
        <v>491</v>
      </c>
      <c r="K163" t="s">
        <v>492</v>
      </c>
      <c r="L163">
        <v>1339</v>
      </c>
      <c r="N163">
        <v>1007</v>
      </c>
      <c r="O163" t="s">
        <v>377</v>
      </c>
      <c r="P163" t="s">
        <v>377</v>
      </c>
      <c r="Q163">
        <v>1</v>
      </c>
      <c r="X163">
        <v>25.5</v>
      </c>
      <c r="Y163">
        <v>665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G163">
        <v>25.5</v>
      </c>
      <c r="AH163">
        <v>2</v>
      </c>
      <c r="AI163">
        <v>27022845</v>
      </c>
      <c r="AJ163">
        <v>127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ht="12.75">
      <c r="A164">
        <f>ROW(Source!A46)</f>
        <v>46</v>
      </c>
      <c r="B164">
        <v>27022851</v>
      </c>
      <c r="C164">
        <v>27022839</v>
      </c>
      <c r="D164">
        <v>24262983</v>
      </c>
      <c r="E164">
        <v>1</v>
      </c>
      <c r="F164">
        <v>1</v>
      </c>
      <c r="G164">
        <v>1</v>
      </c>
      <c r="H164">
        <v>3</v>
      </c>
      <c r="I164" t="s">
        <v>641</v>
      </c>
      <c r="J164" t="s">
        <v>642</v>
      </c>
      <c r="K164" t="s">
        <v>643</v>
      </c>
      <c r="L164">
        <v>1339</v>
      </c>
      <c r="N164">
        <v>1007</v>
      </c>
      <c r="O164" t="s">
        <v>377</v>
      </c>
      <c r="P164" t="s">
        <v>377</v>
      </c>
      <c r="Q164">
        <v>1</v>
      </c>
      <c r="X164">
        <v>0.5</v>
      </c>
      <c r="Y164">
        <v>2.44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G164">
        <v>0.5</v>
      </c>
      <c r="AH164">
        <v>3</v>
      </c>
      <c r="AI164">
        <v>-1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ht="12.75">
      <c r="A165">
        <f>ROW(Source!A47)</f>
        <v>47</v>
      </c>
      <c r="B165">
        <v>26995395</v>
      </c>
      <c r="C165">
        <v>26995384</v>
      </c>
      <c r="D165">
        <v>9419296</v>
      </c>
      <c r="E165">
        <v>1</v>
      </c>
      <c r="F165">
        <v>1</v>
      </c>
      <c r="G165">
        <v>1</v>
      </c>
      <c r="H165">
        <v>1</v>
      </c>
      <c r="I165" t="s">
        <v>493</v>
      </c>
      <c r="K165" t="s">
        <v>494</v>
      </c>
      <c r="L165">
        <v>1369</v>
      </c>
      <c r="N165">
        <v>1013</v>
      </c>
      <c r="O165" t="s">
        <v>323</v>
      </c>
      <c r="P165" t="s">
        <v>323</v>
      </c>
      <c r="Q165">
        <v>1</v>
      </c>
      <c r="X165">
        <v>7.24</v>
      </c>
      <c r="Y165">
        <v>0</v>
      </c>
      <c r="Z165">
        <v>0</v>
      </c>
      <c r="AA165">
        <v>0</v>
      </c>
      <c r="AB165">
        <v>10.5</v>
      </c>
      <c r="AC165">
        <v>0</v>
      </c>
      <c r="AD165">
        <v>1</v>
      </c>
      <c r="AE165">
        <v>1</v>
      </c>
      <c r="AF165" t="s">
        <v>18</v>
      </c>
      <c r="AG165">
        <v>8.325999999999999</v>
      </c>
      <c r="AH165">
        <v>2</v>
      </c>
      <c r="AI165">
        <v>26995385</v>
      </c>
      <c r="AJ165">
        <v>128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ht="12.75">
      <c r="A166">
        <f>ROW(Source!A47)</f>
        <v>47</v>
      </c>
      <c r="B166">
        <v>26995396</v>
      </c>
      <c r="C166">
        <v>26995384</v>
      </c>
      <c r="D166">
        <v>121548</v>
      </c>
      <c r="E166">
        <v>1</v>
      </c>
      <c r="F166">
        <v>1</v>
      </c>
      <c r="G166">
        <v>1</v>
      </c>
      <c r="H166">
        <v>1</v>
      </c>
      <c r="I166" t="s">
        <v>26</v>
      </c>
      <c r="K166" t="s">
        <v>358</v>
      </c>
      <c r="L166">
        <v>608254</v>
      </c>
      <c r="N166">
        <v>1013</v>
      </c>
      <c r="O166" t="s">
        <v>359</v>
      </c>
      <c r="P166" t="s">
        <v>359</v>
      </c>
      <c r="Q166">
        <v>1</v>
      </c>
      <c r="X166">
        <v>0.01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17</v>
      </c>
      <c r="AG166">
        <v>0.0125</v>
      </c>
      <c r="AH166">
        <v>2</v>
      </c>
      <c r="AI166">
        <v>26995386</v>
      </c>
      <c r="AJ166">
        <v>129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ht="12.75">
      <c r="A167">
        <f>ROW(Source!A47)</f>
        <v>47</v>
      </c>
      <c r="B167">
        <v>26995397</v>
      </c>
      <c r="C167">
        <v>26995384</v>
      </c>
      <c r="D167">
        <v>24265924</v>
      </c>
      <c r="E167">
        <v>1</v>
      </c>
      <c r="F167">
        <v>1</v>
      </c>
      <c r="G167">
        <v>1</v>
      </c>
      <c r="H167">
        <v>2</v>
      </c>
      <c r="I167" t="s">
        <v>436</v>
      </c>
      <c r="J167" t="s">
        <v>445</v>
      </c>
      <c r="K167" t="s">
        <v>438</v>
      </c>
      <c r="L167">
        <v>1368</v>
      </c>
      <c r="N167">
        <v>1011</v>
      </c>
      <c r="O167" t="s">
        <v>327</v>
      </c>
      <c r="P167" t="s">
        <v>327</v>
      </c>
      <c r="Q167">
        <v>1</v>
      </c>
      <c r="X167">
        <v>0.01</v>
      </c>
      <c r="Y167">
        <v>0</v>
      </c>
      <c r="Z167">
        <v>89.99</v>
      </c>
      <c r="AA167">
        <v>10.06</v>
      </c>
      <c r="AB167">
        <v>0</v>
      </c>
      <c r="AC167">
        <v>0</v>
      </c>
      <c r="AD167">
        <v>1</v>
      </c>
      <c r="AE167">
        <v>0</v>
      </c>
      <c r="AF167" t="s">
        <v>17</v>
      </c>
      <c r="AG167">
        <v>0.0125</v>
      </c>
      <c r="AH167">
        <v>2</v>
      </c>
      <c r="AI167">
        <v>26995387</v>
      </c>
      <c r="AJ167">
        <v>130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ht="12.75">
      <c r="A168">
        <f>ROW(Source!A47)</f>
        <v>47</v>
      </c>
      <c r="B168">
        <v>26995398</v>
      </c>
      <c r="C168">
        <v>26995384</v>
      </c>
      <c r="D168">
        <v>24316761</v>
      </c>
      <c r="E168">
        <v>1</v>
      </c>
      <c r="F168">
        <v>1</v>
      </c>
      <c r="G168">
        <v>1</v>
      </c>
      <c r="H168">
        <v>2</v>
      </c>
      <c r="I168" t="s">
        <v>418</v>
      </c>
      <c r="J168" t="s">
        <v>419</v>
      </c>
      <c r="K168" t="s">
        <v>420</v>
      </c>
      <c r="L168">
        <v>1368</v>
      </c>
      <c r="N168">
        <v>1011</v>
      </c>
      <c r="O168" t="s">
        <v>327</v>
      </c>
      <c r="P168" t="s">
        <v>327</v>
      </c>
      <c r="Q168">
        <v>1</v>
      </c>
      <c r="X168">
        <v>0.01</v>
      </c>
      <c r="Y168">
        <v>0</v>
      </c>
      <c r="Z168">
        <v>1.7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17</v>
      </c>
      <c r="AG168">
        <v>0.0125</v>
      </c>
      <c r="AH168">
        <v>2</v>
      </c>
      <c r="AI168">
        <v>26995388</v>
      </c>
      <c r="AJ168">
        <v>131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ht="12.75">
      <c r="A169">
        <f>ROW(Source!A47)</f>
        <v>47</v>
      </c>
      <c r="B169">
        <v>26995399</v>
      </c>
      <c r="C169">
        <v>26995384</v>
      </c>
      <c r="D169">
        <v>24334494</v>
      </c>
      <c r="E169">
        <v>1</v>
      </c>
      <c r="F169">
        <v>1</v>
      </c>
      <c r="G169">
        <v>1</v>
      </c>
      <c r="H169">
        <v>2</v>
      </c>
      <c r="I169" t="s">
        <v>495</v>
      </c>
      <c r="J169" t="s">
        <v>496</v>
      </c>
      <c r="K169" t="s">
        <v>497</v>
      </c>
      <c r="L169">
        <v>1368</v>
      </c>
      <c r="N169">
        <v>1011</v>
      </c>
      <c r="O169" t="s">
        <v>327</v>
      </c>
      <c r="P169" t="s">
        <v>327</v>
      </c>
      <c r="Q169">
        <v>1</v>
      </c>
      <c r="X169">
        <v>0.4</v>
      </c>
      <c r="Y169">
        <v>0</v>
      </c>
      <c r="Z169">
        <v>16.44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17</v>
      </c>
      <c r="AG169">
        <v>0.5</v>
      </c>
      <c r="AH169">
        <v>2</v>
      </c>
      <c r="AI169">
        <v>26995389</v>
      </c>
      <c r="AJ169">
        <v>132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ht="12.75">
      <c r="A170">
        <f>ROW(Source!A47)</f>
        <v>47</v>
      </c>
      <c r="B170">
        <v>26995400</v>
      </c>
      <c r="C170">
        <v>26995384</v>
      </c>
      <c r="D170">
        <v>24262102</v>
      </c>
      <c r="E170">
        <v>1</v>
      </c>
      <c r="F170">
        <v>1</v>
      </c>
      <c r="G170">
        <v>1</v>
      </c>
      <c r="H170">
        <v>2</v>
      </c>
      <c r="I170" t="s">
        <v>371</v>
      </c>
      <c r="J170" t="s">
        <v>372</v>
      </c>
      <c r="K170" t="s">
        <v>373</v>
      </c>
      <c r="L170">
        <v>1368</v>
      </c>
      <c r="N170">
        <v>1011</v>
      </c>
      <c r="O170" t="s">
        <v>327</v>
      </c>
      <c r="P170" t="s">
        <v>327</v>
      </c>
      <c r="Q170">
        <v>1</v>
      </c>
      <c r="X170">
        <v>0.01</v>
      </c>
      <c r="Y170">
        <v>0</v>
      </c>
      <c r="Z170">
        <v>87.17</v>
      </c>
      <c r="AA170">
        <v>11.6</v>
      </c>
      <c r="AB170">
        <v>0</v>
      </c>
      <c r="AC170">
        <v>0</v>
      </c>
      <c r="AD170">
        <v>1</v>
      </c>
      <c r="AE170">
        <v>0</v>
      </c>
      <c r="AF170" t="s">
        <v>17</v>
      </c>
      <c r="AG170">
        <v>0.0125</v>
      </c>
      <c r="AH170">
        <v>2</v>
      </c>
      <c r="AI170">
        <v>26995390</v>
      </c>
      <c r="AJ170">
        <v>133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ht="12.75">
      <c r="A171">
        <f>ROW(Source!A47)</f>
        <v>47</v>
      </c>
      <c r="B171">
        <v>26995401</v>
      </c>
      <c r="C171">
        <v>26995384</v>
      </c>
      <c r="D171">
        <v>24317480</v>
      </c>
      <c r="E171">
        <v>1</v>
      </c>
      <c r="F171">
        <v>1</v>
      </c>
      <c r="G171">
        <v>1</v>
      </c>
      <c r="H171">
        <v>3</v>
      </c>
      <c r="I171" t="s">
        <v>498</v>
      </c>
      <c r="J171" t="s">
        <v>499</v>
      </c>
      <c r="K171" t="s">
        <v>500</v>
      </c>
      <c r="L171">
        <v>1348</v>
      </c>
      <c r="N171">
        <v>1009</v>
      </c>
      <c r="O171" t="s">
        <v>203</v>
      </c>
      <c r="P171" t="s">
        <v>203</v>
      </c>
      <c r="Q171">
        <v>1000</v>
      </c>
      <c r="X171">
        <v>0.00028</v>
      </c>
      <c r="Y171">
        <v>4488.4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G171">
        <v>0.00028</v>
      </c>
      <c r="AH171">
        <v>2</v>
      </c>
      <c r="AI171">
        <v>26995391</v>
      </c>
      <c r="AJ171">
        <v>134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ht="12.75">
      <c r="A172">
        <f>ROW(Source!A47)</f>
        <v>47</v>
      </c>
      <c r="B172">
        <v>26995402</v>
      </c>
      <c r="C172">
        <v>26995384</v>
      </c>
      <c r="D172">
        <v>24334447</v>
      </c>
      <c r="E172">
        <v>1</v>
      </c>
      <c r="F172">
        <v>1</v>
      </c>
      <c r="G172">
        <v>1</v>
      </c>
      <c r="H172">
        <v>3</v>
      </c>
      <c r="I172" t="s">
        <v>501</v>
      </c>
      <c r="J172" t="s">
        <v>502</v>
      </c>
      <c r="K172" t="s">
        <v>503</v>
      </c>
      <c r="L172">
        <v>1346</v>
      </c>
      <c r="N172">
        <v>1009</v>
      </c>
      <c r="O172" t="s">
        <v>341</v>
      </c>
      <c r="P172" t="s">
        <v>341</v>
      </c>
      <c r="Q172">
        <v>1</v>
      </c>
      <c r="X172">
        <v>1.6</v>
      </c>
      <c r="Y172">
        <v>28.93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G172">
        <v>1.6</v>
      </c>
      <c r="AH172">
        <v>2</v>
      </c>
      <c r="AI172">
        <v>26995392</v>
      </c>
      <c r="AJ172">
        <v>135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ht="12.75">
      <c r="A173">
        <f>ROW(Source!A47)</f>
        <v>47</v>
      </c>
      <c r="B173">
        <v>26995403</v>
      </c>
      <c r="C173">
        <v>26995384</v>
      </c>
      <c r="D173">
        <v>24334448</v>
      </c>
      <c r="E173">
        <v>1</v>
      </c>
      <c r="F173">
        <v>1</v>
      </c>
      <c r="G173">
        <v>1</v>
      </c>
      <c r="H173">
        <v>3</v>
      </c>
      <c r="I173" t="s">
        <v>504</v>
      </c>
      <c r="J173" t="s">
        <v>505</v>
      </c>
      <c r="K173" t="s">
        <v>506</v>
      </c>
      <c r="L173">
        <v>1348</v>
      </c>
      <c r="N173">
        <v>1009</v>
      </c>
      <c r="O173" t="s">
        <v>203</v>
      </c>
      <c r="P173" t="s">
        <v>203</v>
      </c>
      <c r="Q173">
        <v>1000</v>
      </c>
      <c r="X173">
        <v>0.00028</v>
      </c>
      <c r="Y173">
        <v>43070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G173">
        <v>0.00028</v>
      </c>
      <c r="AH173">
        <v>2</v>
      </c>
      <c r="AI173">
        <v>26995393</v>
      </c>
      <c r="AJ173">
        <v>136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ht="12.75">
      <c r="A174">
        <f>ROW(Source!A47)</f>
        <v>47</v>
      </c>
      <c r="B174">
        <v>26995404</v>
      </c>
      <c r="C174">
        <v>26995384</v>
      </c>
      <c r="D174">
        <v>24334475</v>
      </c>
      <c r="E174">
        <v>1</v>
      </c>
      <c r="F174">
        <v>1</v>
      </c>
      <c r="G174">
        <v>1</v>
      </c>
      <c r="H174">
        <v>3</v>
      </c>
      <c r="I174" t="s">
        <v>507</v>
      </c>
      <c r="J174" t="s">
        <v>508</v>
      </c>
      <c r="K174" t="s">
        <v>509</v>
      </c>
      <c r="L174">
        <v>1348</v>
      </c>
      <c r="N174">
        <v>1009</v>
      </c>
      <c r="O174" t="s">
        <v>203</v>
      </c>
      <c r="P174" t="s">
        <v>203</v>
      </c>
      <c r="Q174">
        <v>1000</v>
      </c>
      <c r="X174">
        <v>0.0076</v>
      </c>
      <c r="Y174">
        <v>23080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G174">
        <v>0.0076</v>
      </c>
      <c r="AH174">
        <v>2</v>
      </c>
      <c r="AI174">
        <v>26995394</v>
      </c>
      <c r="AJ174">
        <v>137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ht="12.75">
      <c r="A175">
        <f>ROW(Source!A48)</f>
        <v>48</v>
      </c>
      <c r="B175">
        <v>26995417</v>
      </c>
      <c r="C175">
        <v>26995405</v>
      </c>
      <c r="D175">
        <v>9419296</v>
      </c>
      <c r="E175">
        <v>1</v>
      </c>
      <c r="F175">
        <v>1</v>
      </c>
      <c r="G175">
        <v>1</v>
      </c>
      <c r="H175">
        <v>1</v>
      </c>
      <c r="I175" t="s">
        <v>493</v>
      </c>
      <c r="K175" t="s">
        <v>494</v>
      </c>
      <c r="L175">
        <v>1369</v>
      </c>
      <c r="N175">
        <v>1013</v>
      </c>
      <c r="O175" t="s">
        <v>323</v>
      </c>
      <c r="P175" t="s">
        <v>323</v>
      </c>
      <c r="Q175">
        <v>1</v>
      </c>
      <c r="X175">
        <v>3.83</v>
      </c>
      <c r="Y175">
        <v>0</v>
      </c>
      <c r="Z175">
        <v>0</v>
      </c>
      <c r="AA175">
        <v>0</v>
      </c>
      <c r="AB175">
        <v>10.5</v>
      </c>
      <c r="AC175">
        <v>0</v>
      </c>
      <c r="AD175">
        <v>1</v>
      </c>
      <c r="AE175">
        <v>1</v>
      </c>
      <c r="AF175" t="s">
        <v>18</v>
      </c>
      <c r="AG175">
        <v>4.4045</v>
      </c>
      <c r="AH175">
        <v>2</v>
      </c>
      <c r="AI175">
        <v>26995406</v>
      </c>
      <c r="AJ175">
        <v>138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ht="12.75">
      <c r="A176">
        <f>ROW(Source!A48)</f>
        <v>48</v>
      </c>
      <c r="B176">
        <v>26995418</v>
      </c>
      <c r="C176">
        <v>26995405</v>
      </c>
      <c r="D176">
        <v>121548</v>
      </c>
      <c r="E176">
        <v>1</v>
      </c>
      <c r="F176">
        <v>1</v>
      </c>
      <c r="G176">
        <v>1</v>
      </c>
      <c r="H176">
        <v>1</v>
      </c>
      <c r="I176" t="s">
        <v>26</v>
      </c>
      <c r="K176" t="s">
        <v>358</v>
      </c>
      <c r="L176">
        <v>608254</v>
      </c>
      <c r="N176">
        <v>1013</v>
      </c>
      <c r="O176" t="s">
        <v>359</v>
      </c>
      <c r="P176" t="s">
        <v>359</v>
      </c>
      <c r="Q176">
        <v>1</v>
      </c>
      <c r="X176">
        <v>0.14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1</v>
      </c>
      <c r="AE176">
        <v>2</v>
      </c>
      <c r="AF176" t="s">
        <v>17</v>
      </c>
      <c r="AG176">
        <v>0.17500000000000002</v>
      </c>
      <c r="AH176">
        <v>2</v>
      </c>
      <c r="AI176">
        <v>26995407</v>
      </c>
      <c r="AJ176">
        <v>139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ht="12.75">
      <c r="A177">
        <f>ROW(Source!A48)</f>
        <v>48</v>
      </c>
      <c r="B177">
        <v>26995419</v>
      </c>
      <c r="C177">
        <v>26995405</v>
      </c>
      <c r="D177">
        <v>24265924</v>
      </c>
      <c r="E177">
        <v>1</v>
      </c>
      <c r="F177">
        <v>1</v>
      </c>
      <c r="G177">
        <v>1</v>
      </c>
      <c r="H177">
        <v>2</v>
      </c>
      <c r="I177" t="s">
        <v>436</v>
      </c>
      <c r="J177" t="s">
        <v>445</v>
      </c>
      <c r="K177" t="s">
        <v>438</v>
      </c>
      <c r="L177">
        <v>1368</v>
      </c>
      <c r="N177">
        <v>1011</v>
      </c>
      <c r="O177" t="s">
        <v>327</v>
      </c>
      <c r="P177" t="s">
        <v>327</v>
      </c>
      <c r="Q177">
        <v>1</v>
      </c>
      <c r="X177">
        <v>0.01</v>
      </c>
      <c r="Y177">
        <v>0</v>
      </c>
      <c r="Z177">
        <v>89.99</v>
      </c>
      <c r="AA177">
        <v>10.06</v>
      </c>
      <c r="AB177">
        <v>0</v>
      </c>
      <c r="AC177">
        <v>0</v>
      </c>
      <c r="AD177">
        <v>1</v>
      </c>
      <c r="AE177">
        <v>0</v>
      </c>
      <c r="AF177" t="s">
        <v>17</v>
      </c>
      <c r="AG177">
        <v>0.0125</v>
      </c>
      <c r="AH177">
        <v>2</v>
      </c>
      <c r="AI177">
        <v>26995408</v>
      </c>
      <c r="AJ177">
        <v>140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ht="12.75">
      <c r="A178">
        <f>ROW(Source!A48)</f>
        <v>48</v>
      </c>
      <c r="B178">
        <v>26995420</v>
      </c>
      <c r="C178">
        <v>26995405</v>
      </c>
      <c r="D178">
        <v>24316761</v>
      </c>
      <c r="E178">
        <v>1</v>
      </c>
      <c r="F178">
        <v>1</v>
      </c>
      <c r="G178">
        <v>1</v>
      </c>
      <c r="H178">
        <v>2</v>
      </c>
      <c r="I178" t="s">
        <v>418</v>
      </c>
      <c r="J178" t="s">
        <v>419</v>
      </c>
      <c r="K178" t="s">
        <v>420</v>
      </c>
      <c r="L178">
        <v>1368</v>
      </c>
      <c r="N178">
        <v>1011</v>
      </c>
      <c r="O178" t="s">
        <v>327</v>
      </c>
      <c r="P178" t="s">
        <v>327</v>
      </c>
      <c r="Q178">
        <v>1</v>
      </c>
      <c r="X178">
        <v>0.02</v>
      </c>
      <c r="Y178">
        <v>0</v>
      </c>
      <c r="Z178">
        <v>1.7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17</v>
      </c>
      <c r="AG178">
        <v>0.025</v>
      </c>
      <c r="AH178">
        <v>2</v>
      </c>
      <c r="AI178">
        <v>26995409</v>
      </c>
      <c r="AJ178">
        <v>141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ht="12.75">
      <c r="A179">
        <f>ROW(Source!A48)</f>
        <v>48</v>
      </c>
      <c r="B179">
        <v>26995421</v>
      </c>
      <c r="C179">
        <v>26995405</v>
      </c>
      <c r="D179">
        <v>24313971</v>
      </c>
      <c r="E179">
        <v>1</v>
      </c>
      <c r="F179">
        <v>1</v>
      </c>
      <c r="G179">
        <v>1</v>
      </c>
      <c r="H179">
        <v>2</v>
      </c>
      <c r="I179" t="s">
        <v>446</v>
      </c>
      <c r="J179" t="s">
        <v>447</v>
      </c>
      <c r="K179" t="s">
        <v>448</v>
      </c>
      <c r="L179">
        <v>1368</v>
      </c>
      <c r="N179">
        <v>1011</v>
      </c>
      <c r="O179" t="s">
        <v>327</v>
      </c>
      <c r="P179" t="s">
        <v>327</v>
      </c>
      <c r="Q179">
        <v>1</v>
      </c>
      <c r="X179">
        <v>0.04</v>
      </c>
      <c r="Y179">
        <v>0</v>
      </c>
      <c r="Z179">
        <v>12.39</v>
      </c>
      <c r="AA179">
        <v>10.06</v>
      </c>
      <c r="AB179">
        <v>0</v>
      </c>
      <c r="AC179">
        <v>0</v>
      </c>
      <c r="AD179">
        <v>1</v>
      </c>
      <c r="AE179">
        <v>0</v>
      </c>
      <c r="AF179" t="s">
        <v>17</v>
      </c>
      <c r="AG179">
        <v>0.05</v>
      </c>
      <c r="AH179">
        <v>2</v>
      </c>
      <c r="AI179">
        <v>26995410</v>
      </c>
      <c r="AJ179">
        <v>142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ht="12.75">
      <c r="A180">
        <f>ROW(Source!A48)</f>
        <v>48</v>
      </c>
      <c r="B180">
        <v>26995422</v>
      </c>
      <c r="C180">
        <v>26995405</v>
      </c>
      <c r="D180">
        <v>24330881</v>
      </c>
      <c r="E180">
        <v>1</v>
      </c>
      <c r="F180">
        <v>1</v>
      </c>
      <c r="G180">
        <v>1</v>
      </c>
      <c r="H180">
        <v>2</v>
      </c>
      <c r="I180" t="s">
        <v>510</v>
      </c>
      <c r="J180" t="s">
        <v>511</v>
      </c>
      <c r="K180" t="s">
        <v>512</v>
      </c>
      <c r="L180">
        <v>1368</v>
      </c>
      <c r="N180">
        <v>1011</v>
      </c>
      <c r="O180" t="s">
        <v>327</v>
      </c>
      <c r="P180" t="s">
        <v>327</v>
      </c>
      <c r="Q180">
        <v>1</v>
      </c>
      <c r="X180">
        <v>0.09</v>
      </c>
      <c r="Y180">
        <v>0</v>
      </c>
      <c r="Z180">
        <v>30.4</v>
      </c>
      <c r="AA180">
        <v>10.06</v>
      </c>
      <c r="AB180">
        <v>0</v>
      </c>
      <c r="AC180">
        <v>0</v>
      </c>
      <c r="AD180">
        <v>1</v>
      </c>
      <c r="AE180">
        <v>0</v>
      </c>
      <c r="AF180" t="s">
        <v>17</v>
      </c>
      <c r="AG180">
        <v>0.11249999999999999</v>
      </c>
      <c r="AH180">
        <v>2</v>
      </c>
      <c r="AI180">
        <v>26995411</v>
      </c>
      <c r="AJ180">
        <v>143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ht="12.75">
      <c r="A181">
        <f>ROW(Source!A48)</f>
        <v>48</v>
      </c>
      <c r="B181">
        <v>26995423</v>
      </c>
      <c r="C181">
        <v>26995405</v>
      </c>
      <c r="D181">
        <v>24262102</v>
      </c>
      <c r="E181">
        <v>1</v>
      </c>
      <c r="F181">
        <v>1</v>
      </c>
      <c r="G181">
        <v>1</v>
      </c>
      <c r="H181">
        <v>2</v>
      </c>
      <c r="I181" t="s">
        <v>371</v>
      </c>
      <c r="J181" t="s">
        <v>372</v>
      </c>
      <c r="K181" t="s">
        <v>373</v>
      </c>
      <c r="L181">
        <v>1368</v>
      </c>
      <c r="N181">
        <v>1011</v>
      </c>
      <c r="O181" t="s">
        <v>327</v>
      </c>
      <c r="P181" t="s">
        <v>327</v>
      </c>
      <c r="Q181">
        <v>1</v>
      </c>
      <c r="X181">
        <v>0.06</v>
      </c>
      <c r="Y181">
        <v>0</v>
      </c>
      <c r="Z181">
        <v>87.17</v>
      </c>
      <c r="AA181">
        <v>11.6</v>
      </c>
      <c r="AB181">
        <v>0</v>
      </c>
      <c r="AC181">
        <v>0</v>
      </c>
      <c r="AD181">
        <v>1</v>
      </c>
      <c r="AE181">
        <v>0</v>
      </c>
      <c r="AF181" t="s">
        <v>17</v>
      </c>
      <c r="AG181">
        <v>0.075</v>
      </c>
      <c r="AH181">
        <v>2</v>
      </c>
      <c r="AI181">
        <v>26995412</v>
      </c>
      <c r="AJ181">
        <v>144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ht="12.75">
      <c r="A182">
        <f>ROW(Source!A48)</f>
        <v>48</v>
      </c>
      <c r="B182">
        <v>26995424</v>
      </c>
      <c r="C182">
        <v>26995405</v>
      </c>
      <c r="D182">
        <v>24330345</v>
      </c>
      <c r="E182">
        <v>1</v>
      </c>
      <c r="F182">
        <v>1</v>
      </c>
      <c r="G182">
        <v>1</v>
      </c>
      <c r="H182">
        <v>3</v>
      </c>
      <c r="I182" t="s">
        <v>513</v>
      </c>
      <c r="J182" t="s">
        <v>514</v>
      </c>
      <c r="K182" t="s">
        <v>515</v>
      </c>
      <c r="L182">
        <v>1348</v>
      </c>
      <c r="N182">
        <v>1009</v>
      </c>
      <c r="O182" t="s">
        <v>203</v>
      </c>
      <c r="P182" t="s">
        <v>203</v>
      </c>
      <c r="Q182">
        <v>1000</v>
      </c>
      <c r="X182">
        <v>0.00127</v>
      </c>
      <c r="Y182">
        <v>7062.5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G182">
        <v>0.00127</v>
      </c>
      <c r="AH182">
        <v>2</v>
      </c>
      <c r="AI182">
        <v>26995413</v>
      </c>
      <c r="AJ182">
        <v>145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ht="12.75">
      <c r="A183">
        <f>ROW(Source!A48)</f>
        <v>48</v>
      </c>
      <c r="B183">
        <v>26995425</v>
      </c>
      <c r="C183">
        <v>26995405</v>
      </c>
      <c r="D183">
        <v>24330346</v>
      </c>
      <c r="E183">
        <v>1</v>
      </c>
      <c r="F183">
        <v>1</v>
      </c>
      <c r="G183">
        <v>1</v>
      </c>
      <c r="H183">
        <v>3</v>
      </c>
      <c r="I183" t="s">
        <v>516</v>
      </c>
      <c r="J183" t="s">
        <v>517</v>
      </c>
      <c r="K183" t="s">
        <v>518</v>
      </c>
      <c r="L183">
        <v>1348</v>
      </c>
      <c r="N183">
        <v>1009</v>
      </c>
      <c r="O183" t="s">
        <v>203</v>
      </c>
      <c r="P183" t="s">
        <v>203</v>
      </c>
      <c r="Q183">
        <v>1000</v>
      </c>
      <c r="X183">
        <v>0.00847</v>
      </c>
      <c r="Y183">
        <v>2734.6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0</v>
      </c>
      <c r="AG183">
        <v>0.00847</v>
      </c>
      <c r="AH183">
        <v>2</v>
      </c>
      <c r="AI183">
        <v>26995414</v>
      </c>
      <c r="AJ183">
        <v>146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ht="12.75">
      <c r="A184">
        <f>ROW(Source!A48)</f>
        <v>48</v>
      </c>
      <c r="B184">
        <v>26995426</v>
      </c>
      <c r="C184">
        <v>26995405</v>
      </c>
      <c r="D184">
        <v>24332683</v>
      </c>
      <c r="E184">
        <v>1</v>
      </c>
      <c r="F184">
        <v>1</v>
      </c>
      <c r="G184">
        <v>1</v>
      </c>
      <c r="H184">
        <v>3</v>
      </c>
      <c r="I184" t="s">
        <v>519</v>
      </c>
      <c r="J184" t="s">
        <v>520</v>
      </c>
      <c r="K184" t="s">
        <v>521</v>
      </c>
      <c r="L184">
        <v>1327</v>
      </c>
      <c r="N184">
        <v>1005</v>
      </c>
      <c r="O184" t="s">
        <v>348</v>
      </c>
      <c r="P184" t="s">
        <v>348</v>
      </c>
      <c r="Q184">
        <v>1</v>
      </c>
      <c r="X184">
        <v>1.02</v>
      </c>
      <c r="Y184">
        <v>107</v>
      </c>
      <c r="Z184">
        <v>0</v>
      </c>
      <c r="AA184">
        <v>0</v>
      </c>
      <c r="AB184">
        <v>0</v>
      </c>
      <c r="AC184">
        <v>0</v>
      </c>
      <c r="AD184">
        <v>1</v>
      </c>
      <c r="AE184">
        <v>0</v>
      </c>
      <c r="AG184">
        <v>1.02</v>
      </c>
      <c r="AH184">
        <v>2</v>
      </c>
      <c r="AI184">
        <v>26995415</v>
      </c>
      <c r="AJ184">
        <v>147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ht="12.75">
      <c r="A185">
        <f>ROW(Source!A48)</f>
        <v>48</v>
      </c>
      <c r="B185">
        <v>26995427</v>
      </c>
      <c r="C185">
        <v>26995405</v>
      </c>
      <c r="D185">
        <v>24330556</v>
      </c>
      <c r="E185">
        <v>1</v>
      </c>
      <c r="F185">
        <v>1</v>
      </c>
      <c r="G185">
        <v>1</v>
      </c>
      <c r="H185">
        <v>3</v>
      </c>
      <c r="I185" t="s">
        <v>522</v>
      </c>
      <c r="J185" t="s">
        <v>523</v>
      </c>
      <c r="K185" t="s">
        <v>524</v>
      </c>
      <c r="L185">
        <v>1348</v>
      </c>
      <c r="N185">
        <v>1009</v>
      </c>
      <c r="O185" t="s">
        <v>203</v>
      </c>
      <c r="P185" t="s">
        <v>203</v>
      </c>
      <c r="Q185">
        <v>1000</v>
      </c>
      <c r="X185">
        <v>0.0189</v>
      </c>
      <c r="Y185">
        <v>1234</v>
      </c>
      <c r="Z185">
        <v>0</v>
      </c>
      <c r="AA185">
        <v>0</v>
      </c>
      <c r="AB185">
        <v>0</v>
      </c>
      <c r="AC185">
        <v>0</v>
      </c>
      <c r="AD185">
        <v>1</v>
      </c>
      <c r="AE185">
        <v>0</v>
      </c>
      <c r="AG185">
        <v>0.0189</v>
      </c>
      <c r="AH185">
        <v>2</v>
      </c>
      <c r="AI185">
        <v>26995416</v>
      </c>
      <c r="AJ185">
        <v>148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ht="12.75">
      <c r="A186">
        <f>ROW(Source!A49)</f>
        <v>49</v>
      </c>
      <c r="B186">
        <v>26995439</v>
      </c>
      <c r="C186">
        <v>26995428</v>
      </c>
      <c r="D186">
        <v>9419296</v>
      </c>
      <c r="E186">
        <v>1</v>
      </c>
      <c r="F186">
        <v>1</v>
      </c>
      <c r="G186">
        <v>1</v>
      </c>
      <c r="H186">
        <v>1</v>
      </c>
      <c r="I186" t="s">
        <v>493</v>
      </c>
      <c r="K186" t="s">
        <v>494</v>
      </c>
      <c r="L186">
        <v>1369</v>
      </c>
      <c r="N186">
        <v>1013</v>
      </c>
      <c r="O186" t="s">
        <v>323</v>
      </c>
      <c r="P186" t="s">
        <v>323</v>
      </c>
      <c r="Q186">
        <v>1</v>
      </c>
      <c r="X186">
        <v>2.12</v>
      </c>
      <c r="Y186">
        <v>0</v>
      </c>
      <c r="Z186">
        <v>0</v>
      </c>
      <c r="AA186">
        <v>0</v>
      </c>
      <c r="AB186">
        <v>10.5</v>
      </c>
      <c r="AC186">
        <v>0</v>
      </c>
      <c r="AD186">
        <v>1</v>
      </c>
      <c r="AE186">
        <v>1</v>
      </c>
      <c r="AF186" t="s">
        <v>18</v>
      </c>
      <c r="AG186">
        <v>2.4379999999999997</v>
      </c>
      <c r="AH186">
        <v>2</v>
      </c>
      <c r="AI186">
        <v>26995429</v>
      </c>
      <c r="AJ186">
        <v>149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ht="12.75">
      <c r="A187">
        <f>ROW(Source!A49)</f>
        <v>49</v>
      </c>
      <c r="B187">
        <v>26995440</v>
      </c>
      <c r="C187">
        <v>26995428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26</v>
      </c>
      <c r="K187" t="s">
        <v>358</v>
      </c>
      <c r="L187">
        <v>608254</v>
      </c>
      <c r="N187">
        <v>1013</v>
      </c>
      <c r="O187" t="s">
        <v>359</v>
      </c>
      <c r="P187" t="s">
        <v>359</v>
      </c>
      <c r="Q187">
        <v>1</v>
      </c>
      <c r="X187">
        <v>0.05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17</v>
      </c>
      <c r="AG187">
        <v>0.0625</v>
      </c>
      <c r="AH187">
        <v>2</v>
      </c>
      <c r="AI187">
        <v>26995430</v>
      </c>
      <c r="AJ187">
        <v>150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ht="12.75">
      <c r="A188">
        <f>ROW(Source!A49)</f>
        <v>49</v>
      </c>
      <c r="B188">
        <v>26995441</v>
      </c>
      <c r="C188">
        <v>26995428</v>
      </c>
      <c r="D188">
        <v>24265924</v>
      </c>
      <c r="E188">
        <v>1</v>
      </c>
      <c r="F188">
        <v>1</v>
      </c>
      <c r="G188">
        <v>1</v>
      </c>
      <c r="H188">
        <v>2</v>
      </c>
      <c r="I188" t="s">
        <v>436</v>
      </c>
      <c r="J188" t="s">
        <v>445</v>
      </c>
      <c r="K188" t="s">
        <v>438</v>
      </c>
      <c r="L188">
        <v>1368</v>
      </c>
      <c r="N188">
        <v>1011</v>
      </c>
      <c r="O188" t="s">
        <v>327</v>
      </c>
      <c r="P188" t="s">
        <v>327</v>
      </c>
      <c r="Q188">
        <v>1</v>
      </c>
      <c r="X188">
        <v>0.01</v>
      </c>
      <c r="Y188">
        <v>0</v>
      </c>
      <c r="Z188">
        <v>89.99</v>
      </c>
      <c r="AA188">
        <v>10.06</v>
      </c>
      <c r="AB188">
        <v>0</v>
      </c>
      <c r="AC188">
        <v>0</v>
      </c>
      <c r="AD188">
        <v>1</v>
      </c>
      <c r="AE188">
        <v>0</v>
      </c>
      <c r="AF188" t="s">
        <v>17</v>
      </c>
      <c r="AG188">
        <v>0.0125</v>
      </c>
      <c r="AH188">
        <v>2</v>
      </c>
      <c r="AI188">
        <v>26995431</v>
      </c>
      <c r="AJ188">
        <v>151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ht="12.75">
      <c r="A189">
        <f>ROW(Source!A49)</f>
        <v>49</v>
      </c>
      <c r="B189">
        <v>26995442</v>
      </c>
      <c r="C189">
        <v>26995428</v>
      </c>
      <c r="D189">
        <v>24313971</v>
      </c>
      <c r="E189">
        <v>1</v>
      </c>
      <c r="F189">
        <v>1</v>
      </c>
      <c r="G189">
        <v>1</v>
      </c>
      <c r="H189">
        <v>2</v>
      </c>
      <c r="I189" t="s">
        <v>446</v>
      </c>
      <c r="J189" t="s">
        <v>447</v>
      </c>
      <c r="K189" t="s">
        <v>448</v>
      </c>
      <c r="L189">
        <v>1368</v>
      </c>
      <c r="N189">
        <v>1011</v>
      </c>
      <c r="O189" t="s">
        <v>327</v>
      </c>
      <c r="P189" t="s">
        <v>327</v>
      </c>
      <c r="Q189">
        <v>1</v>
      </c>
      <c r="X189">
        <v>0.04</v>
      </c>
      <c r="Y189">
        <v>0</v>
      </c>
      <c r="Z189">
        <v>12.39</v>
      </c>
      <c r="AA189">
        <v>10.06</v>
      </c>
      <c r="AB189">
        <v>0</v>
      </c>
      <c r="AC189">
        <v>0</v>
      </c>
      <c r="AD189">
        <v>1</v>
      </c>
      <c r="AE189">
        <v>0</v>
      </c>
      <c r="AF189" t="s">
        <v>17</v>
      </c>
      <c r="AG189">
        <v>0.05</v>
      </c>
      <c r="AH189">
        <v>2</v>
      </c>
      <c r="AI189">
        <v>26995432</v>
      </c>
      <c r="AJ189">
        <v>152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ht="12.75">
      <c r="A190">
        <f>ROW(Source!A49)</f>
        <v>49</v>
      </c>
      <c r="B190">
        <v>26995443</v>
      </c>
      <c r="C190">
        <v>26995428</v>
      </c>
      <c r="D190">
        <v>24262102</v>
      </c>
      <c r="E190">
        <v>1</v>
      </c>
      <c r="F190">
        <v>1</v>
      </c>
      <c r="G190">
        <v>1</v>
      </c>
      <c r="H190">
        <v>2</v>
      </c>
      <c r="I190" t="s">
        <v>371</v>
      </c>
      <c r="J190" t="s">
        <v>372</v>
      </c>
      <c r="K190" t="s">
        <v>373</v>
      </c>
      <c r="L190">
        <v>1368</v>
      </c>
      <c r="N190">
        <v>1011</v>
      </c>
      <c r="O190" t="s">
        <v>327</v>
      </c>
      <c r="P190" t="s">
        <v>327</v>
      </c>
      <c r="Q190">
        <v>1</v>
      </c>
      <c r="X190">
        <v>0.01</v>
      </c>
      <c r="Y190">
        <v>0</v>
      </c>
      <c r="Z190">
        <v>87.17</v>
      </c>
      <c r="AA190">
        <v>11.6</v>
      </c>
      <c r="AB190">
        <v>0</v>
      </c>
      <c r="AC190">
        <v>0</v>
      </c>
      <c r="AD190">
        <v>1</v>
      </c>
      <c r="AE190">
        <v>0</v>
      </c>
      <c r="AF190" t="s">
        <v>17</v>
      </c>
      <c r="AG190">
        <v>0.0125</v>
      </c>
      <c r="AH190">
        <v>2</v>
      </c>
      <c r="AI190">
        <v>26995433</v>
      </c>
      <c r="AJ190">
        <v>153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ht="12.75">
      <c r="A191">
        <f>ROW(Source!A49)</f>
        <v>49</v>
      </c>
      <c r="B191">
        <v>26995444</v>
      </c>
      <c r="C191">
        <v>26995428</v>
      </c>
      <c r="D191">
        <v>24330725</v>
      </c>
      <c r="E191">
        <v>1</v>
      </c>
      <c r="F191">
        <v>1</v>
      </c>
      <c r="G191">
        <v>1</v>
      </c>
      <c r="H191">
        <v>3</v>
      </c>
      <c r="I191" t="s">
        <v>660</v>
      </c>
      <c r="J191" t="s">
        <v>661</v>
      </c>
      <c r="K191" t="s">
        <v>662</v>
      </c>
      <c r="L191">
        <v>1348</v>
      </c>
      <c r="N191">
        <v>1009</v>
      </c>
      <c r="O191" t="s">
        <v>203</v>
      </c>
      <c r="P191" t="s">
        <v>203</v>
      </c>
      <c r="Q191">
        <v>1000</v>
      </c>
      <c r="X191">
        <v>3E-05</v>
      </c>
      <c r="Y191">
        <v>90400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G191">
        <v>3E-05</v>
      </c>
      <c r="AH191">
        <v>3</v>
      </c>
      <c r="AI191">
        <v>-1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ht="12.75">
      <c r="A192">
        <f>ROW(Source!A49)</f>
        <v>49</v>
      </c>
      <c r="B192">
        <v>26995445</v>
      </c>
      <c r="C192">
        <v>26995428</v>
      </c>
      <c r="D192">
        <v>24323079</v>
      </c>
      <c r="E192">
        <v>1</v>
      </c>
      <c r="F192">
        <v>1</v>
      </c>
      <c r="G192">
        <v>1</v>
      </c>
      <c r="H192">
        <v>3</v>
      </c>
      <c r="I192" t="s">
        <v>525</v>
      </c>
      <c r="J192" t="s">
        <v>526</v>
      </c>
      <c r="K192" t="s">
        <v>527</v>
      </c>
      <c r="L192">
        <v>1348</v>
      </c>
      <c r="N192">
        <v>1009</v>
      </c>
      <c r="O192" t="s">
        <v>203</v>
      </c>
      <c r="P192" t="s">
        <v>203</v>
      </c>
      <c r="Q192">
        <v>1000</v>
      </c>
      <c r="X192">
        <v>7E-05</v>
      </c>
      <c r="Y192">
        <v>7716.7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G192">
        <v>7E-05</v>
      </c>
      <c r="AH192">
        <v>2</v>
      </c>
      <c r="AI192">
        <v>26995434</v>
      </c>
      <c r="AJ192">
        <v>154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ht="12.75">
      <c r="A193">
        <f>ROW(Source!A49)</f>
        <v>49</v>
      </c>
      <c r="B193">
        <v>26995446</v>
      </c>
      <c r="C193">
        <v>26995428</v>
      </c>
      <c r="D193">
        <v>24323720</v>
      </c>
      <c r="E193">
        <v>1</v>
      </c>
      <c r="F193">
        <v>1</v>
      </c>
      <c r="G193">
        <v>1</v>
      </c>
      <c r="H193">
        <v>3</v>
      </c>
      <c r="I193" t="s">
        <v>528</v>
      </c>
      <c r="J193" t="s">
        <v>529</v>
      </c>
      <c r="K193" t="s">
        <v>530</v>
      </c>
      <c r="L193">
        <v>1348</v>
      </c>
      <c r="N193">
        <v>1009</v>
      </c>
      <c r="O193" t="s">
        <v>203</v>
      </c>
      <c r="P193" t="s">
        <v>203</v>
      </c>
      <c r="Q193">
        <v>1000</v>
      </c>
      <c r="X193">
        <v>5E-05</v>
      </c>
      <c r="Y193">
        <v>48302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G193">
        <v>5E-05</v>
      </c>
      <c r="AH193">
        <v>2</v>
      </c>
      <c r="AI193">
        <v>26995435</v>
      </c>
      <c r="AJ193">
        <v>155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ht="12.75">
      <c r="A194">
        <f>ROW(Source!A49)</f>
        <v>49</v>
      </c>
      <c r="B194">
        <v>26995447</v>
      </c>
      <c r="C194">
        <v>26995428</v>
      </c>
      <c r="D194">
        <v>24330608</v>
      </c>
      <c r="E194">
        <v>1</v>
      </c>
      <c r="F194">
        <v>1</v>
      </c>
      <c r="G194">
        <v>1</v>
      </c>
      <c r="H194">
        <v>3</v>
      </c>
      <c r="I194" t="s">
        <v>531</v>
      </c>
      <c r="J194" t="s">
        <v>532</v>
      </c>
      <c r="K194" t="s">
        <v>533</v>
      </c>
      <c r="L194">
        <v>1348</v>
      </c>
      <c r="N194">
        <v>1009</v>
      </c>
      <c r="O194" t="s">
        <v>203</v>
      </c>
      <c r="P194" t="s">
        <v>203</v>
      </c>
      <c r="Q194">
        <v>1000</v>
      </c>
      <c r="X194">
        <v>0.0005</v>
      </c>
      <c r="Y194">
        <v>53562</v>
      </c>
      <c r="Z194">
        <v>0</v>
      </c>
      <c r="AA194">
        <v>0</v>
      </c>
      <c r="AB194">
        <v>0</v>
      </c>
      <c r="AC194">
        <v>0</v>
      </c>
      <c r="AD194">
        <v>1</v>
      </c>
      <c r="AE194">
        <v>0</v>
      </c>
      <c r="AG194">
        <v>0.0005</v>
      </c>
      <c r="AH194">
        <v>2</v>
      </c>
      <c r="AI194">
        <v>26995436</v>
      </c>
      <c r="AJ194">
        <v>156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ht="12.75">
      <c r="A195">
        <f>ROW(Source!A49)</f>
        <v>49</v>
      </c>
      <c r="B195">
        <v>26995448</v>
      </c>
      <c r="C195">
        <v>26995428</v>
      </c>
      <c r="D195">
        <v>24330556</v>
      </c>
      <c r="E195">
        <v>1</v>
      </c>
      <c r="F195">
        <v>1</v>
      </c>
      <c r="G195">
        <v>1</v>
      </c>
      <c r="H195">
        <v>3</v>
      </c>
      <c r="I195" t="s">
        <v>522</v>
      </c>
      <c r="J195" t="s">
        <v>523</v>
      </c>
      <c r="K195" t="s">
        <v>524</v>
      </c>
      <c r="L195">
        <v>1348</v>
      </c>
      <c r="N195">
        <v>1009</v>
      </c>
      <c r="O195" t="s">
        <v>203</v>
      </c>
      <c r="P195" t="s">
        <v>203</v>
      </c>
      <c r="Q195">
        <v>1000</v>
      </c>
      <c r="X195">
        <v>0.00012</v>
      </c>
      <c r="Y195">
        <v>1234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0</v>
      </c>
      <c r="AG195">
        <v>0.00012</v>
      </c>
      <c r="AH195">
        <v>2</v>
      </c>
      <c r="AI195">
        <v>26995437</v>
      </c>
      <c r="AJ195">
        <v>157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ht="12.75">
      <c r="A196">
        <f>ROW(Source!A49)</f>
        <v>49</v>
      </c>
      <c r="B196">
        <v>26995449</v>
      </c>
      <c r="C196">
        <v>26995428</v>
      </c>
      <c r="D196">
        <v>24323719</v>
      </c>
      <c r="E196">
        <v>1</v>
      </c>
      <c r="F196">
        <v>1</v>
      </c>
      <c r="G196">
        <v>1</v>
      </c>
      <c r="H196">
        <v>3</v>
      </c>
      <c r="I196" t="s">
        <v>534</v>
      </c>
      <c r="J196" t="s">
        <v>535</v>
      </c>
      <c r="K196" t="s">
        <v>536</v>
      </c>
      <c r="L196">
        <v>1348</v>
      </c>
      <c r="N196">
        <v>1009</v>
      </c>
      <c r="O196" t="s">
        <v>203</v>
      </c>
      <c r="P196" t="s">
        <v>203</v>
      </c>
      <c r="Q196">
        <v>1000</v>
      </c>
      <c r="X196">
        <v>5E-05</v>
      </c>
      <c r="Y196">
        <v>19610</v>
      </c>
      <c r="Z196">
        <v>0</v>
      </c>
      <c r="AA196">
        <v>0</v>
      </c>
      <c r="AB196">
        <v>0</v>
      </c>
      <c r="AC196">
        <v>0</v>
      </c>
      <c r="AD196">
        <v>1</v>
      </c>
      <c r="AE196">
        <v>0</v>
      </c>
      <c r="AG196">
        <v>5E-05</v>
      </c>
      <c r="AH196">
        <v>2</v>
      </c>
      <c r="AI196">
        <v>26995438</v>
      </c>
      <c r="AJ196">
        <v>158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ht="12.75">
      <c r="A197">
        <f>ROW(Source!A50)</f>
        <v>50</v>
      </c>
      <c r="B197">
        <v>26995488</v>
      </c>
      <c r="C197">
        <v>26995484</v>
      </c>
      <c r="D197">
        <v>9415808</v>
      </c>
      <c r="E197">
        <v>1</v>
      </c>
      <c r="F197">
        <v>1</v>
      </c>
      <c r="G197">
        <v>1</v>
      </c>
      <c r="H197">
        <v>1</v>
      </c>
      <c r="I197" t="s">
        <v>413</v>
      </c>
      <c r="K197" t="s">
        <v>414</v>
      </c>
      <c r="L197">
        <v>1369</v>
      </c>
      <c r="N197">
        <v>1013</v>
      </c>
      <c r="O197" t="s">
        <v>323</v>
      </c>
      <c r="P197" t="s">
        <v>323</v>
      </c>
      <c r="Q197">
        <v>1</v>
      </c>
      <c r="X197">
        <v>103.91</v>
      </c>
      <c r="Y197">
        <v>0</v>
      </c>
      <c r="Z197">
        <v>0</v>
      </c>
      <c r="AA197">
        <v>0</v>
      </c>
      <c r="AB197">
        <v>8.09</v>
      </c>
      <c r="AC197">
        <v>0</v>
      </c>
      <c r="AD197">
        <v>1</v>
      </c>
      <c r="AE197">
        <v>1</v>
      </c>
      <c r="AG197">
        <v>103.91</v>
      </c>
      <c r="AH197">
        <v>2</v>
      </c>
      <c r="AI197">
        <v>26995485</v>
      </c>
      <c r="AJ197">
        <v>159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ht="12.75">
      <c r="A198">
        <f>ROW(Source!A50)</f>
        <v>50</v>
      </c>
      <c r="B198">
        <v>26995489</v>
      </c>
      <c r="C198">
        <v>26995484</v>
      </c>
      <c r="D198">
        <v>121548</v>
      </c>
      <c r="E198">
        <v>1</v>
      </c>
      <c r="F198">
        <v>1</v>
      </c>
      <c r="G198">
        <v>1</v>
      </c>
      <c r="H198">
        <v>1</v>
      </c>
      <c r="I198" t="s">
        <v>26</v>
      </c>
      <c r="K198" t="s">
        <v>358</v>
      </c>
      <c r="L198">
        <v>608254</v>
      </c>
      <c r="N198">
        <v>1013</v>
      </c>
      <c r="O198" t="s">
        <v>359</v>
      </c>
      <c r="P198" t="s">
        <v>359</v>
      </c>
      <c r="Q198">
        <v>1</v>
      </c>
      <c r="X198">
        <v>7.74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1</v>
      </c>
      <c r="AE198">
        <v>2</v>
      </c>
      <c r="AG198">
        <v>7.74</v>
      </c>
      <c r="AH198">
        <v>2</v>
      </c>
      <c r="AI198">
        <v>26995486</v>
      </c>
      <c r="AJ198">
        <v>160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ht="12.75">
      <c r="A199">
        <f>ROW(Source!A50)</f>
        <v>50</v>
      </c>
      <c r="B199">
        <v>26995490</v>
      </c>
      <c r="C199">
        <v>26995484</v>
      </c>
      <c r="D199">
        <v>24312004</v>
      </c>
      <c r="E199">
        <v>1</v>
      </c>
      <c r="F199">
        <v>1</v>
      </c>
      <c r="G199">
        <v>1</v>
      </c>
      <c r="H199">
        <v>2</v>
      </c>
      <c r="I199" t="s">
        <v>389</v>
      </c>
      <c r="J199" t="s">
        <v>390</v>
      </c>
      <c r="K199" t="s">
        <v>391</v>
      </c>
      <c r="L199">
        <v>1368</v>
      </c>
      <c r="N199">
        <v>1011</v>
      </c>
      <c r="O199" t="s">
        <v>327</v>
      </c>
      <c r="P199" t="s">
        <v>327</v>
      </c>
      <c r="Q199">
        <v>1</v>
      </c>
      <c r="X199">
        <v>7.74</v>
      </c>
      <c r="Y199">
        <v>0</v>
      </c>
      <c r="Z199">
        <v>31.26</v>
      </c>
      <c r="AA199">
        <v>13.5</v>
      </c>
      <c r="AB199">
        <v>0</v>
      </c>
      <c r="AC199">
        <v>0</v>
      </c>
      <c r="AD199">
        <v>1</v>
      </c>
      <c r="AE199">
        <v>0</v>
      </c>
      <c r="AG199">
        <v>7.74</v>
      </c>
      <c r="AH199">
        <v>2</v>
      </c>
      <c r="AI199">
        <v>26995487</v>
      </c>
      <c r="AJ199">
        <v>161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ht="12.75">
      <c r="A200">
        <f>ROW(Source!A51)</f>
        <v>51</v>
      </c>
      <c r="B200">
        <v>26995501</v>
      </c>
      <c r="C200">
        <v>26995491</v>
      </c>
      <c r="D200">
        <v>9417175</v>
      </c>
      <c r="E200">
        <v>1</v>
      </c>
      <c r="F200">
        <v>1</v>
      </c>
      <c r="G200">
        <v>1</v>
      </c>
      <c r="H200">
        <v>1</v>
      </c>
      <c r="I200" t="s">
        <v>537</v>
      </c>
      <c r="K200" t="s">
        <v>538</v>
      </c>
      <c r="L200">
        <v>1369</v>
      </c>
      <c r="N200">
        <v>1013</v>
      </c>
      <c r="O200" t="s">
        <v>323</v>
      </c>
      <c r="P200" t="s">
        <v>323</v>
      </c>
      <c r="Q200">
        <v>1</v>
      </c>
      <c r="X200">
        <v>2.78</v>
      </c>
      <c r="Y200">
        <v>0</v>
      </c>
      <c r="Z200">
        <v>0</v>
      </c>
      <c r="AA200">
        <v>0</v>
      </c>
      <c r="AB200">
        <v>10.06</v>
      </c>
      <c r="AC200">
        <v>0</v>
      </c>
      <c r="AD200">
        <v>1</v>
      </c>
      <c r="AE200">
        <v>1</v>
      </c>
      <c r="AF200" t="s">
        <v>18</v>
      </c>
      <c r="AG200">
        <v>3.1969999999999996</v>
      </c>
      <c r="AH200">
        <v>2</v>
      </c>
      <c r="AI200">
        <v>26995492</v>
      </c>
      <c r="AJ200">
        <v>162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ht="12.75">
      <c r="A201">
        <f>ROW(Source!A51)</f>
        <v>51</v>
      </c>
      <c r="B201">
        <v>26995502</v>
      </c>
      <c r="C201">
        <v>26995491</v>
      </c>
      <c r="D201">
        <v>21285419</v>
      </c>
      <c r="E201">
        <v>1</v>
      </c>
      <c r="F201">
        <v>1</v>
      </c>
      <c r="G201">
        <v>1</v>
      </c>
      <c r="H201">
        <v>2</v>
      </c>
      <c r="I201" t="s">
        <v>539</v>
      </c>
      <c r="J201" t="s">
        <v>540</v>
      </c>
      <c r="K201" t="s">
        <v>541</v>
      </c>
      <c r="L201">
        <v>1368</v>
      </c>
      <c r="N201">
        <v>1011</v>
      </c>
      <c r="O201" t="s">
        <v>327</v>
      </c>
      <c r="P201" t="s">
        <v>327</v>
      </c>
      <c r="Q201">
        <v>1</v>
      </c>
      <c r="X201">
        <v>0.73</v>
      </c>
      <c r="Y201">
        <v>0</v>
      </c>
      <c r="Z201">
        <v>8.1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17</v>
      </c>
      <c r="AG201">
        <v>0.9125</v>
      </c>
      <c r="AH201">
        <v>2</v>
      </c>
      <c r="AI201">
        <v>26995493</v>
      </c>
      <c r="AJ201">
        <v>163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ht="12.75">
      <c r="A202">
        <f>ROW(Source!A51)</f>
        <v>51</v>
      </c>
      <c r="B202">
        <v>26995503</v>
      </c>
      <c r="C202">
        <v>26995491</v>
      </c>
      <c r="D202">
        <v>21331417</v>
      </c>
      <c r="E202">
        <v>1</v>
      </c>
      <c r="F202">
        <v>1</v>
      </c>
      <c r="G202">
        <v>1</v>
      </c>
      <c r="H202">
        <v>2</v>
      </c>
      <c r="I202" t="s">
        <v>324</v>
      </c>
      <c r="J202" t="s">
        <v>542</v>
      </c>
      <c r="K202" t="s">
        <v>326</v>
      </c>
      <c r="L202">
        <v>1368</v>
      </c>
      <c r="N202">
        <v>1011</v>
      </c>
      <c r="O202" t="s">
        <v>327</v>
      </c>
      <c r="P202" t="s">
        <v>327</v>
      </c>
      <c r="Q202">
        <v>1</v>
      </c>
      <c r="X202">
        <v>0.77</v>
      </c>
      <c r="Y202">
        <v>0</v>
      </c>
      <c r="Z202">
        <v>3</v>
      </c>
      <c r="AA202">
        <v>0</v>
      </c>
      <c r="AB202">
        <v>0</v>
      </c>
      <c r="AC202">
        <v>0</v>
      </c>
      <c r="AD202">
        <v>1</v>
      </c>
      <c r="AE202">
        <v>0</v>
      </c>
      <c r="AF202" t="s">
        <v>17</v>
      </c>
      <c r="AG202">
        <v>0.9625</v>
      </c>
      <c r="AH202">
        <v>2</v>
      </c>
      <c r="AI202">
        <v>26995494</v>
      </c>
      <c r="AJ202">
        <v>164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ht="12.75">
      <c r="A203">
        <f>ROW(Source!A51)</f>
        <v>51</v>
      </c>
      <c r="B203">
        <v>26995504</v>
      </c>
      <c r="C203">
        <v>26995491</v>
      </c>
      <c r="D203">
        <v>21322901</v>
      </c>
      <c r="E203">
        <v>1</v>
      </c>
      <c r="F203">
        <v>1</v>
      </c>
      <c r="G203">
        <v>1</v>
      </c>
      <c r="H203">
        <v>2</v>
      </c>
      <c r="I203" t="s">
        <v>331</v>
      </c>
      <c r="J203" t="s">
        <v>543</v>
      </c>
      <c r="K203" t="s">
        <v>333</v>
      </c>
      <c r="L203">
        <v>1368</v>
      </c>
      <c r="N203">
        <v>1011</v>
      </c>
      <c r="O203" t="s">
        <v>327</v>
      </c>
      <c r="P203" t="s">
        <v>327</v>
      </c>
      <c r="Q203">
        <v>1</v>
      </c>
      <c r="X203">
        <v>0.73</v>
      </c>
      <c r="Y203">
        <v>0</v>
      </c>
      <c r="Z203">
        <v>2.08</v>
      </c>
      <c r="AA203">
        <v>0</v>
      </c>
      <c r="AB203">
        <v>0</v>
      </c>
      <c r="AC203">
        <v>0</v>
      </c>
      <c r="AD203">
        <v>1</v>
      </c>
      <c r="AE203">
        <v>0</v>
      </c>
      <c r="AF203" t="s">
        <v>17</v>
      </c>
      <c r="AG203">
        <v>0.9125</v>
      </c>
      <c r="AH203">
        <v>2</v>
      </c>
      <c r="AI203">
        <v>26995495</v>
      </c>
      <c r="AJ203">
        <v>165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ht="12.75">
      <c r="A204">
        <f>ROW(Source!A51)</f>
        <v>51</v>
      </c>
      <c r="B204">
        <v>26995505</v>
      </c>
      <c r="C204">
        <v>26995491</v>
      </c>
      <c r="D204">
        <v>21280770</v>
      </c>
      <c r="E204">
        <v>1</v>
      </c>
      <c r="F204">
        <v>1</v>
      </c>
      <c r="G204">
        <v>1</v>
      </c>
      <c r="H204">
        <v>2</v>
      </c>
      <c r="I204" t="s">
        <v>371</v>
      </c>
      <c r="J204" t="s">
        <v>458</v>
      </c>
      <c r="K204" t="s">
        <v>373</v>
      </c>
      <c r="L204">
        <v>1368</v>
      </c>
      <c r="N204">
        <v>1011</v>
      </c>
      <c r="O204" t="s">
        <v>327</v>
      </c>
      <c r="P204" t="s">
        <v>327</v>
      </c>
      <c r="Q204">
        <v>1</v>
      </c>
      <c r="X204">
        <v>0.02</v>
      </c>
      <c r="Y204">
        <v>0</v>
      </c>
      <c r="Z204">
        <v>87.17</v>
      </c>
      <c r="AA204">
        <v>11.6</v>
      </c>
      <c r="AB204">
        <v>0</v>
      </c>
      <c r="AC204">
        <v>0</v>
      </c>
      <c r="AD204">
        <v>1</v>
      </c>
      <c r="AE204">
        <v>0</v>
      </c>
      <c r="AF204" t="s">
        <v>17</v>
      </c>
      <c r="AG204">
        <v>0.025</v>
      </c>
      <c r="AH204">
        <v>3</v>
      </c>
      <c r="AI204">
        <v>-1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ht="12.75">
      <c r="A205">
        <f>ROW(Source!A51)</f>
        <v>51</v>
      </c>
      <c r="B205">
        <v>26995506</v>
      </c>
      <c r="C205">
        <v>26995491</v>
      </c>
      <c r="D205">
        <v>21307204</v>
      </c>
      <c r="E205">
        <v>1</v>
      </c>
      <c r="F205">
        <v>1</v>
      </c>
      <c r="G205">
        <v>1</v>
      </c>
      <c r="H205">
        <v>3</v>
      </c>
      <c r="I205" t="s">
        <v>545</v>
      </c>
      <c r="J205" t="s">
        <v>546</v>
      </c>
      <c r="K205" t="s">
        <v>663</v>
      </c>
      <c r="L205">
        <v>1348</v>
      </c>
      <c r="N205">
        <v>1009</v>
      </c>
      <c r="O205" t="s">
        <v>203</v>
      </c>
      <c r="P205" t="s">
        <v>203</v>
      </c>
      <c r="Q205">
        <v>1000</v>
      </c>
      <c r="X205">
        <v>8E-05</v>
      </c>
      <c r="Y205">
        <v>10315</v>
      </c>
      <c r="Z205">
        <v>0</v>
      </c>
      <c r="AA205">
        <v>0</v>
      </c>
      <c r="AB205">
        <v>0</v>
      </c>
      <c r="AC205">
        <v>0</v>
      </c>
      <c r="AD205">
        <v>1</v>
      </c>
      <c r="AE205">
        <v>0</v>
      </c>
      <c r="AG205">
        <v>8E-05</v>
      </c>
      <c r="AH205">
        <v>2</v>
      </c>
      <c r="AI205">
        <v>26995496</v>
      </c>
      <c r="AJ205">
        <v>167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ht="12.75">
      <c r="A206">
        <f>ROW(Source!A51)</f>
        <v>51</v>
      </c>
      <c r="B206">
        <v>26995507</v>
      </c>
      <c r="C206">
        <v>26995491</v>
      </c>
      <c r="D206">
        <v>21331961</v>
      </c>
      <c r="E206">
        <v>1</v>
      </c>
      <c r="F206">
        <v>1</v>
      </c>
      <c r="G206">
        <v>1</v>
      </c>
      <c r="H206">
        <v>3</v>
      </c>
      <c r="I206" t="s">
        <v>548</v>
      </c>
      <c r="J206" t="s">
        <v>549</v>
      </c>
      <c r="K206" t="s">
        <v>550</v>
      </c>
      <c r="L206">
        <v>1348</v>
      </c>
      <c r="N206">
        <v>1009</v>
      </c>
      <c r="O206" t="s">
        <v>203</v>
      </c>
      <c r="P206" t="s">
        <v>203</v>
      </c>
      <c r="Q206">
        <v>1000</v>
      </c>
      <c r="X206">
        <v>0.003</v>
      </c>
      <c r="Y206">
        <v>10068</v>
      </c>
      <c r="Z206">
        <v>0</v>
      </c>
      <c r="AA206">
        <v>0</v>
      </c>
      <c r="AB206">
        <v>0</v>
      </c>
      <c r="AC206">
        <v>0</v>
      </c>
      <c r="AD206">
        <v>1</v>
      </c>
      <c r="AE206">
        <v>0</v>
      </c>
      <c r="AG206">
        <v>0.003</v>
      </c>
      <c r="AH206">
        <v>2</v>
      </c>
      <c r="AI206">
        <v>26995497</v>
      </c>
      <c r="AJ206">
        <v>168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ht="12.75">
      <c r="A207">
        <f>ROW(Source!A51)</f>
        <v>51</v>
      </c>
      <c r="B207">
        <v>26995508</v>
      </c>
      <c r="C207">
        <v>26995491</v>
      </c>
      <c r="D207">
        <v>21339616</v>
      </c>
      <c r="E207">
        <v>1</v>
      </c>
      <c r="F207">
        <v>1</v>
      </c>
      <c r="G207">
        <v>1</v>
      </c>
      <c r="H207">
        <v>3</v>
      </c>
      <c r="I207" t="s">
        <v>551</v>
      </c>
      <c r="J207" t="s">
        <v>552</v>
      </c>
      <c r="K207" t="s">
        <v>664</v>
      </c>
      <c r="L207">
        <v>1354</v>
      </c>
      <c r="N207">
        <v>1010</v>
      </c>
      <c r="O207" t="s">
        <v>352</v>
      </c>
      <c r="P207" t="s">
        <v>352</v>
      </c>
      <c r="Q207">
        <v>1</v>
      </c>
      <c r="X207">
        <v>0.19</v>
      </c>
      <c r="Y207">
        <v>110.11</v>
      </c>
      <c r="Z207">
        <v>0</v>
      </c>
      <c r="AA207">
        <v>0</v>
      </c>
      <c r="AB207">
        <v>0</v>
      </c>
      <c r="AC207">
        <v>0</v>
      </c>
      <c r="AD207">
        <v>1</v>
      </c>
      <c r="AE207">
        <v>0</v>
      </c>
      <c r="AG207">
        <v>0.19</v>
      </c>
      <c r="AH207">
        <v>2</v>
      </c>
      <c r="AI207">
        <v>26995498</v>
      </c>
      <c r="AJ207">
        <v>169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ht="12.75">
      <c r="A208">
        <f>ROW(Source!A51)</f>
        <v>51</v>
      </c>
      <c r="B208">
        <v>26995509</v>
      </c>
      <c r="C208">
        <v>26995491</v>
      </c>
      <c r="D208">
        <v>21339619</v>
      </c>
      <c r="E208">
        <v>1</v>
      </c>
      <c r="F208">
        <v>1</v>
      </c>
      <c r="G208">
        <v>1</v>
      </c>
      <c r="H208">
        <v>3</v>
      </c>
      <c r="I208" t="s">
        <v>554</v>
      </c>
      <c r="J208" t="s">
        <v>555</v>
      </c>
      <c r="K208" t="s">
        <v>556</v>
      </c>
      <c r="L208">
        <v>1354</v>
      </c>
      <c r="N208">
        <v>1010</v>
      </c>
      <c r="O208" t="s">
        <v>352</v>
      </c>
      <c r="P208" t="s">
        <v>352</v>
      </c>
      <c r="Q208">
        <v>1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1</v>
      </c>
      <c r="AD208">
        <v>0</v>
      </c>
      <c r="AE208">
        <v>0</v>
      </c>
      <c r="AG208">
        <v>0</v>
      </c>
      <c r="AH208">
        <v>2</v>
      </c>
      <c r="AI208">
        <v>26995499</v>
      </c>
      <c r="AJ208">
        <v>170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ht="12.75">
      <c r="A209">
        <f>ROW(Source!A52)</f>
        <v>52</v>
      </c>
      <c r="B209">
        <v>26995516</v>
      </c>
      <c r="C209">
        <v>26995510</v>
      </c>
      <c r="D209">
        <v>9415639</v>
      </c>
      <c r="E209">
        <v>1</v>
      </c>
      <c r="F209">
        <v>1</v>
      </c>
      <c r="G209">
        <v>1</v>
      </c>
      <c r="H209">
        <v>1</v>
      </c>
      <c r="I209" t="s">
        <v>557</v>
      </c>
      <c r="K209" t="s">
        <v>558</v>
      </c>
      <c r="L209">
        <v>1369</v>
      </c>
      <c r="N209">
        <v>1013</v>
      </c>
      <c r="O209" t="s">
        <v>323</v>
      </c>
      <c r="P209" t="s">
        <v>323</v>
      </c>
      <c r="Q209">
        <v>1</v>
      </c>
      <c r="X209">
        <v>70.2</v>
      </c>
      <c r="Y209">
        <v>0</v>
      </c>
      <c r="Z209">
        <v>0</v>
      </c>
      <c r="AA209">
        <v>0</v>
      </c>
      <c r="AB209">
        <v>8.64</v>
      </c>
      <c r="AC209">
        <v>0</v>
      </c>
      <c r="AD209">
        <v>1</v>
      </c>
      <c r="AE209">
        <v>1</v>
      </c>
      <c r="AF209" t="s">
        <v>18</v>
      </c>
      <c r="AG209">
        <v>80.73</v>
      </c>
      <c r="AH209">
        <v>2</v>
      </c>
      <c r="AI209">
        <v>26995511</v>
      </c>
      <c r="AJ209">
        <v>171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ht="12.75">
      <c r="A210">
        <f>ROW(Source!A52)</f>
        <v>52</v>
      </c>
      <c r="B210">
        <v>26995517</v>
      </c>
      <c r="C210">
        <v>26995510</v>
      </c>
      <c r="D210">
        <v>21280770</v>
      </c>
      <c r="E210">
        <v>1</v>
      </c>
      <c r="F210">
        <v>1</v>
      </c>
      <c r="G210">
        <v>1</v>
      </c>
      <c r="H210">
        <v>2</v>
      </c>
      <c r="I210" t="s">
        <v>371</v>
      </c>
      <c r="J210" t="s">
        <v>458</v>
      </c>
      <c r="K210" t="s">
        <v>373</v>
      </c>
      <c r="L210">
        <v>1368</v>
      </c>
      <c r="N210">
        <v>1011</v>
      </c>
      <c r="O210" t="s">
        <v>327</v>
      </c>
      <c r="P210" t="s">
        <v>327</v>
      </c>
      <c r="Q210">
        <v>1</v>
      </c>
      <c r="X210">
        <v>0.18</v>
      </c>
      <c r="Y210">
        <v>0</v>
      </c>
      <c r="Z210">
        <v>87.17</v>
      </c>
      <c r="AA210">
        <v>11.6</v>
      </c>
      <c r="AB210">
        <v>0</v>
      </c>
      <c r="AC210">
        <v>0</v>
      </c>
      <c r="AD210">
        <v>1</v>
      </c>
      <c r="AE210">
        <v>0</v>
      </c>
      <c r="AF210" t="s">
        <v>17</v>
      </c>
      <c r="AG210">
        <v>0.22499999999999998</v>
      </c>
      <c r="AH210">
        <v>2</v>
      </c>
      <c r="AI210">
        <v>26995512</v>
      </c>
      <c r="AJ210">
        <v>172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ht="12.75">
      <c r="A211">
        <f>ROW(Source!A52)</f>
        <v>52</v>
      </c>
      <c r="B211">
        <v>26995518</v>
      </c>
      <c r="C211">
        <v>26995510</v>
      </c>
      <c r="D211">
        <v>21333989</v>
      </c>
      <c r="E211">
        <v>1</v>
      </c>
      <c r="F211">
        <v>1</v>
      </c>
      <c r="G211">
        <v>1</v>
      </c>
      <c r="H211">
        <v>3</v>
      </c>
      <c r="I211" t="s">
        <v>559</v>
      </c>
      <c r="J211" t="s">
        <v>560</v>
      </c>
      <c r="K211" t="s">
        <v>561</v>
      </c>
      <c r="L211">
        <v>1339</v>
      </c>
      <c r="N211">
        <v>1007</v>
      </c>
      <c r="O211" t="s">
        <v>377</v>
      </c>
      <c r="P211" t="s">
        <v>377</v>
      </c>
      <c r="Q211">
        <v>1</v>
      </c>
      <c r="X211">
        <v>0.008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G211">
        <v>0.008</v>
      </c>
      <c r="AH211">
        <v>2</v>
      </c>
      <c r="AI211">
        <v>26995513</v>
      </c>
      <c r="AJ211">
        <v>173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ht="12.75">
      <c r="A212">
        <f>ROW(Source!A52)</f>
        <v>52</v>
      </c>
      <c r="B212">
        <v>26995519</v>
      </c>
      <c r="C212">
        <v>26995510</v>
      </c>
      <c r="D212">
        <v>21333990</v>
      </c>
      <c r="E212">
        <v>1</v>
      </c>
      <c r="F212">
        <v>1</v>
      </c>
      <c r="G212">
        <v>1</v>
      </c>
      <c r="H212">
        <v>3</v>
      </c>
      <c r="I212" t="s">
        <v>562</v>
      </c>
      <c r="J212" t="s">
        <v>563</v>
      </c>
      <c r="K212" t="s">
        <v>564</v>
      </c>
      <c r="L212">
        <v>1348</v>
      </c>
      <c r="N212">
        <v>1009</v>
      </c>
      <c r="O212" t="s">
        <v>203</v>
      </c>
      <c r="P212" t="s">
        <v>203</v>
      </c>
      <c r="Q212">
        <v>1000</v>
      </c>
      <c r="X212">
        <v>0.029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G212">
        <v>0.029</v>
      </c>
      <c r="AH212">
        <v>2</v>
      </c>
      <c r="AI212">
        <v>26995514</v>
      </c>
      <c r="AJ212">
        <v>174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ht="12.75">
      <c r="A213">
        <f>ROW(Source!A52)</f>
        <v>52</v>
      </c>
      <c r="B213">
        <v>26995520</v>
      </c>
      <c r="C213">
        <v>26995510</v>
      </c>
      <c r="D213">
        <v>21320125</v>
      </c>
      <c r="E213">
        <v>1</v>
      </c>
      <c r="F213">
        <v>1</v>
      </c>
      <c r="G213">
        <v>1</v>
      </c>
      <c r="H213">
        <v>3</v>
      </c>
      <c r="I213" t="s">
        <v>565</v>
      </c>
      <c r="J213" t="s">
        <v>566</v>
      </c>
      <c r="K213" t="s">
        <v>567</v>
      </c>
      <c r="L213">
        <v>1327</v>
      </c>
      <c r="N213">
        <v>1005</v>
      </c>
      <c r="O213" t="s">
        <v>348</v>
      </c>
      <c r="P213" t="s">
        <v>348</v>
      </c>
      <c r="Q213">
        <v>1</v>
      </c>
      <c r="X213">
        <v>5.5</v>
      </c>
      <c r="Y213">
        <v>35.22</v>
      </c>
      <c r="Z213">
        <v>0</v>
      </c>
      <c r="AA213">
        <v>0</v>
      </c>
      <c r="AB213">
        <v>0</v>
      </c>
      <c r="AC213">
        <v>0</v>
      </c>
      <c r="AD213">
        <v>1</v>
      </c>
      <c r="AE213">
        <v>0</v>
      </c>
      <c r="AG213">
        <v>5.5</v>
      </c>
      <c r="AH213">
        <v>2</v>
      </c>
      <c r="AI213">
        <v>26995515</v>
      </c>
      <c r="AJ213">
        <v>175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ht="12.75">
      <c r="A214">
        <f>ROW(Source!A53)</f>
        <v>53</v>
      </c>
      <c r="B214">
        <v>26995535</v>
      </c>
      <c r="C214">
        <v>26995532</v>
      </c>
      <c r="D214">
        <v>9430554</v>
      </c>
      <c r="E214">
        <v>1</v>
      </c>
      <c r="F214">
        <v>1</v>
      </c>
      <c r="G214">
        <v>1</v>
      </c>
      <c r="H214">
        <v>1</v>
      </c>
      <c r="I214" t="s">
        <v>568</v>
      </c>
      <c r="K214" t="s">
        <v>569</v>
      </c>
      <c r="L214">
        <v>1369</v>
      </c>
      <c r="N214">
        <v>1013</v>
      </c>
      <c r="O214" t="s">
        <v>323</v>
      </c>
      <c r="P214" t="s">
        <v>323</v>
      </c>
      <c r="Q214">
        <v>1</v>
      </c>
      <c r="X214">
        <v>214.32</v>
      </c>
      <c r="Y214">
        <v>0</v>
      </c>
      <c r="Z214">
        <v>0</v>
      </c>
      <c r="AA214">
        <v>0</v>
      </c>
      <c r="AB214">
        <v>7.25</v>
      </c>
      <c r="AC214">
        <v>0</v>
      </c>
      <c r="AD214">
        <v>1</v>
      </c>
      <c r="AE214">
        <v>1</v>
      </c>
      <c r="AG214">
        <v>214.32</v>
      </c>
      <c r="AH214">
        <v>2</v>
      </c>
      <c r="AI214">
        <v>26995533</v>
      </c>
      <c r="AJ214">
        <v>176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ht="12.75">
      <c r="A215">
        <f>ROW(Source!A53)</f>
        <v>53</v>
      </c>
      <c r="B215">
        <v>26995536</v>
      </c>
      <c r="C215">
        <v>26995532</v>
      </c>
      <c r="D215">
        <v>21518261</v>
      </c>
      <c r="E215">
        <v>1</v>
      </c>
      <c r="F215">
        <v>1</v>
      </c>
      <c r="G215">
        <v>1</v>
      </c>
      <c r="H215">
        <v>3</v>
      </c>
      <c r="I215" t="s">
        <v>464</v>
      </c>
      <c r="J215" t="s">
        <v>465</v>
      </c>
      <c r="K215" t="s">
        <v>466</v>
      </c>
      <c r="L215">
        <v>1348</v>
      </c>
      <c r="N215">
        <v>1009</v>
      </c>
      <c r="O215" t="s">
        <v>203</v>
      </c>
      <c r="P215" t="s">
        <v>203</v>
      </c>
      <c r="Q215">
        <v>1000</v>
      </c>
      <c r="X215">
        <v>100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G215">
        <v>100</v>
      </c>
      <c r="AH215">
        <v>2</v>
      </c>
      <c r="AI215">
        <v>26995534</v>
      </c>
      <c r="AJ215">
        <v>177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ht="12.75">
      <c r="A216">
        <f>ROW(Source!A54)</f>
        <v>54</v>
      </c>
      <c r="B216">
        <v>26995540</v>
      </c>
      <c r="C216">
        <v>26995537</v>
      </c>
      <c r="D216">
        <v>121548</v>
      </c>
      <c r="E216">
        <v>1</v>
      </c>
      <c r="F216">
        <v>1</v>
      </c>
      <c r="G216">
        <v>1</v>
      </c>
      <c r="H216">
        <v>1</v>
      </c>
      <c r="I216" t="s">
        <v>26</v>
      </c>
      <c r="K216" t="s">
        <v>358</v>
      </c>
      <c r="L216">
        <v>608254</v>
      </c>
      <c r="N216">
        <v>1013</v>
      </c>
      <c r="O216" t="s">
        <v>359</v>
      </c>
      <c r="P216" t="s">
        <v>359</v>
      </c>
      <c r="Q216">
        <v>1</v>
      </c>
      <c r="X216">
        <v>0.024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2</v>
      </c>
      <c r="AG216">
        <v>0.024</v>
      </c>
      <c r="AH216">
        <v>2</v>
      </c>
      <c r="AI216">
        <v>26995538</v>
      </c>
      <c r="AJ216">
        <v>178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ht="12.75">
      <c r="A217">
        <f>ROW(Source!A54)</f>
        <v>54</v>
      </c>
      <c r="B217">
        <v>26995541</v>
      </c>
      <c r="C217">
        <v>26995537</v>
      </c>
      <c r="D217">
        <v>1467629</v>
      </c>
      <c r="E217">
        <v>1</v>
      </c>
      <c r="F217">
        <v>1</v>
      </c>
      <c r="G217">
        <v>1</v>
      </c>
      <c r="H217">
        <v>2</v>
      </c>
      <c r="I217" t="s">
        <v>570</v>
      </c>
      <c r="J217" t="s">
        <v>571</v>
      </c>
      <c r="K217" t="s">
        <v>572</v>
      </c>
      <c r="L217">
        <v>1480</v>
      </c>
      <c r="N217">
        <v>1013</v>
      </c>
      <c r="O217" t="s">
        <v>363</v>
      </c>
      <c r="P217" t="s">
        <v>364</v>
      </c>
      <c r="Q217">
        <v>1</v>
      </c>
      <c r="X217">
        <v>0.024</v>
      </c>
      <c r="Y217">
        <v>0</v>
      </c>
      <c r="Z217">
        <v>125.7</v>
      </c>
      <c r="AA217">
        <v>13.5</v>
      </c>
      <c r="AB217">
        <v>0</v>
      </c>
      <c r="AC217">
        <v>0</v>
      </c>
      <c r="AD217">
        <v>1</v>
      </c>
      <c r="AE217">
        <v>0</v>
      </c>
      <c r="AG217">
        <v>0.024</v>
      </c>
      <c r="AH217">
        <v>2</v>
      </c>
      <c r="AI217">
        <v>26995539</v>
      </c>
      <c r="AJ217">
        <v>179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 Наталья Николаевна</dc:creator>
  <cp:keywords/>
  <dc:description/>
  <cp:lastModifiedBy>Денисова Наталья Николаевна</cp:lastModifiedBy>
  <cp:lastPrinted>2017-01-12T07:25:50Z</cp:lastPrinted>
  <dcterms:created xsi:type="dcterms:W3CDTF">2017-01-24T05:38:04Z</dcterms:created>
  <dcterms:modified xsi:type="dcterms:W3CDTF">2017-01-24T05:38:05Z</dcterms:modified>
  <cp:category/>
  <cp:version/>
  <cp:contentType/>
  <cp:contentStatus/>
</cp:coreProperties>
</file>